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bookViews>
  <sheets>
    <sheet name="BOQ Nisala" sheetId="4" r:id="rId1"/>
  </sheets>
  <calcPr calcId="144525"/>
</workbook>
</file>

<file path=xl/sharedStrings.xml><?xml version="1.0" encoding="utf-8"?>
<sst xmlns="http://schemas.openxmlformats.org/spreadsheetml/2006/main" count="255" uniqueCount="189">
  <si>
    <t>BOQ FOR THE CONSTRUCTION OF MEDITATION HALL FOR NISALA MEDITATION CENTER AT UDUDUMBARA</t>
  </si>
  <si>
    <t>Item #</t>
  </si>
  <si>
    <t>Description</t>
  </si>
  <si>
    <t>Unit</t>
  </si>
  <si>
    <t>Quantity</t>
  </si>
  <si>
    <t>Unit Rate / Rs.</t>
  </si>
  <si>
    <t>Amount / Rs.</t>
  </si>
  <si>
    <t>A</t>
  </si>
  <si>
    <t>Structural Work</t>
  </si>
  <si>
    <t>A1</t>
  </si>
  <si>
    <t>First Floor Level</t>
  </si>
  <si>
    <t>A1.1</t>
  </si>
  <si>
    <t>Preparartion for column's reinforcement before concreting which includes setting out work, adjustments to existing reinforcement and chemilac anchoring for new re-bar fixing in selected columns</t>
  </si>
  <si>
    <t>Item</t>
  </si>
  <si>
    <t>A1.2</t>
  </si>
  <si>
    <t>Reinforcement Work</t>
  </si>
  <si>
    <t>A1.2.1</t>
  </si>
  <si>
    <t>Tor steel reinforcement to  first floor columns bent to shape, laid in position and tied with G.I. Wire as directed.</t>
  </si>
  <si>
    <t>kg</t>
  </si>
  <si>
    <t>A1.2.2</t>
  </si>
  <si>
    <t>Tor steel reinforcement to second floor columns bent to shape, laid in position and tied with G.I. Wire as directed.</t>
  </si>
  <si>
    <t>A1.2.3</t>
  </si>
  <si>
    <t>Tor steel reinforcement to roof floor columns bent to shape, laid in position and tied with G.I. Wire as directed.</t>
  </si>
  <si>
    <t>A1.2.4</t>
  </si>
  <si>
    <t>Tor steel reinforcement to slabs &amp; beams at second floor level, bent to shape, laid in position and tied with G.I. Wire as directed.</t>
  </si>
  <si>
    <t>A1.2.5</t>
  </si>
  <si>
    <t>Tor steel reinforcement to slabs &amp; beams at roof floor level, bent to shape, laid in position and tied with G.I. Wire as directed.</t>
  </si>
  <si>
    <t>A1.2.6</t>
  </si>
  <si>
    <t>Tor steel reinforcement to slabs &amp; beams above roof floor level, bent to shape, laid in position and tied with G.I. Wire as directed.</t>
  </si>
  <si>
    <t>A1.2.7</t>
  </si>
  <si>
    <t>Tor steel reinforcement to staicase from first floor to roof floor level, bent to shape, laid in position and tied with G.I. Wire as directed.</t>
  </si>
  <si>
    <t>A1.3</t>
  </si>
  <si>
    <t>Formwork</t>
  </si>
  <si>
    <t>A1.3.1</t>
  </si>
  <si>
    <t>Plywood timber formwork to cement concrete column in first  floor.</t>
  </si>
  <si>
    <t>Sqrs</t>
  </si>
  <si>
    <t>A1.3.2</t>
  </si>
  <si>
    <t>Plywood timber formwork to cement concrete column in second  floor.</t>
  </si>
  <si>
    <t>A1.3.3</t>
  </si>
  <si>
    <t>Plywood timber formwork to cement concrete column in roof  floor.</t>
  </si>
  <si>
    <t>A1.3.4</t>
  </si>
  <si>
    <t>Plywood timber formwork for second floor slab and beams.</t>
  </si>
  <si>
    <t>A1.3.5</t>
  </si>
  <si>
    <t>Plywood timber formwork for roof floor slab and beams.</t>
  </si>
  <si>
    <t>A1.3.6</t>
  </si>
  <si>
    <t>Plywood timber formwork for above roof floor slab and beams.</t>
  </si>
  <si>
    <t>A1.3.7</t>
  </si>
  <si>
    <t>Plywood timber formwork for first floor to roof floor level stair case</t>
  </si>
  <si>
    <t>A1.4</t>
  </si>
  <si>
    <t>Concreting</t>
  </si>
  <si>
    <t>A1.4.1</t>
  </si>
  <si>
    <t>Cement concrete 1:11/2 : 3(3/4") in columns at first floor.</t>
  </si>
  <si>
    <t>Cube</t>
  </si>
  <si>
    <t>A1.4.2</t>
  </si>
  <si>
    <t>Cement concrete 1:11/2 : 3(3/4") in columns at second floor.</t>
  </si>
  <si>
    <t>A1.4.3</t>
  </si>
  <si>
    <t>Cement concrete 1:11/2 : 3(3/4") in columns at roof floor.</t>
  </si>
  <si>
    <t>A1.4.4</t>
  </si>
  <si>
    <t>Cement concrete 1:11/2 : 3(3/4") in beams &amp; slabs at first floor.</t>
  </si>
  <si>
    <t>A1.4.5</t>
  </si>
  <si>
    <t>Cement concrete 1:11/2 : 3(3/4") in beams &amp; slabs at second floor.</t>
  </si>
  <si>
    <t>A1.4.6</t>
  </si>
  <si>
    <t>Cement concrete 1:11/2 : 3(3/4") in beams &amp; slabs above roof floor.</t>
  </si>
  <si>
    <t>A1.4.7</t>
  </si>
  <si>
    <t>Cement concrete 1:11/2 : 3(3/4") in staircase sirst floor to roof floor.</t>
  </si>
  <si>
    <t>A1.5</t>
  </si>
  <si>
    <t>Brick Work</t>
  </si>
  <si>
    <t xml:space="preserve"> </t>
  </si>
  <si>
    <t>A1.5.1</t>
  </si>
  <si>
    <t>9" thick brick wall cement sand 1:5 in first floor</t>
  </si>
  <si>
    <t>A1.5.2</t>
  </si>
  <si>
    <t>9" thick brick wall cement sand 1:5 in second floor</t>
  </si>
  <si>
    <t>A1.5.3</t>
  </si>
  <si>
    <t>9" thick brick wall cement sand 1:5 in Roof floor</t>
  </si>
  <si>
    <t>A1.5.4</t>
  </si>
  <si>
    <t>Brick Work in cement sand 1:5 in 4-1/2" thick walls in ground floor</t>
  </si>
  <si>
    <t>A1.5.5</t>
  </si>
  <si>
    <t>Brick Work in cement sand 1:5 in 4-1/2" thick walls in first floor</t>
  </si>
  <si>
    <t>A1.5.6</t>
  </si>
  <si>
    <t>Brick Work in cement sand 1:5 in 4-1/2" thick walls in roof floor</t>
  </si>
  <si>
    <t>A1.6</t>
  </si>
  <si>
    <t>Doors and Windows</t>
  </si>
  <si>
    <t>A1.6.1</t>
  </si>
  <si>
    <t>Door Single Hung 3' 3" X7' 0" high overall with frame having 1 1/4" thick sash and 3 1/4" X 2 1/4 ft. timber frame including  ironmongery &amp; painting</t>
  </si>
  <si>
    <t>No</t>
  </si>
  <si>
    <t>A1.6.2</t>
  </si>
  <si>
    <t xml:space="preserve">Plywood door single hung 3' 1-1/2" x 6' 11-1/2" overall with frame having 1-1/4" thick sash and 3 1/4" x 2 1/4" frame including Ironmongory and painting </t>
  </si>
  <si>
    <t>A1.6.3</t>
  </si>
  <si>
    <t xml:space="preserve">Door glazed and paneled double hung 4' 0" x 7' 0" high overall with frame including 1 1/4" thick sash and 3 1/4 x 2 1/4" frame including Ironmongory and painting </t>
  </si>
  <si>
    <t>A1.6.4</t>
  </si>
  <si>
    <t xml:space="preserve">window, Glazed 7'. 0" x 4' 0" High overall with frame comprising 3 No openable sashes and 3 1/4" x 2 1/4" frame and mullions including Ironmongory and painting </t>
  </si>
  <si>
    <t>A1.6.5</t>
  </si>
  <si>
    <t xml:space="preserve">Fanlight, Glazed 1' 6" x 1' 6" High overall with frame comprising 1 No openable sashes hinged on top with single framed and mullions including Ironmongory and painting </t>
  </si>
  <si>
    <t>A1.6.6</t>
  </si>
  <si>
    <t>Sound proofed double glased aluminium fixed glased windows to full height of the building's structural opening with adequte brazing and frame with adequate aluminium sctions to resist high wind, Maximum overall height would be 13'.</t>
  </si>
  <si>
    <t>B</t>
  </si>
  <si>
    <t xml:space="preserve">Finishing Work </t>
  </si>
  <si>
    <t>B1</t>
  </si>
  <si>
    <t>Plastering</t>
  </si>
  <si>
    <t>B1.1</t>
  </si>
  <si>
    <t>5/8" thick to wall in cement and sand 1:5 finished semi-rough with wooden floatat first floor level</t>
  </si>
  <si>
    <t>B1.2</t>
  </si>
  <si>
    <t>5/8" thick to wall in cement and sand 1:5 finished semi-rough with wooden floatat second floor level</t>
  </si>
  <si>
    <t>B1.3</t>
  </si>
  <si>
    <t>5/8" thick to wall in cement and sand 1:5 finished semi-rough with wooden floatat roof floor level</t>
  </si>
  <si>
    <t>B2</t>
  </si>
  <si>
    <t>Painting</t>
  </si>
  <si>
    <t>B2.1</t>
  </si>
  <si>
    <t>Preparing and apply one coat of Alkali resistant primer and two coats of emulsion paint to first floor walls.</t>
  </si>
  <si>
    <t>B2.2</t>
  </si>
  <si>
    <t>Preparing and apply one coat of Alkali resistant primer and two coats of weathershield paint to first floor walls.</t>
  </si>
  <si>
    <t>B2.3</t>
  </si>
  <si>
    <t>Preparing and apply one coat of alkali resistant primer and two coats of emulsion paint to soffit of second floor slabs</t>
  </si>
  <si>
    <t>B2.4</t>
  </si>
  <si>
    <t>Preparing and apply one coat of Alkali resistant primer and two coats of emulsion paint to second floor walls.</t>
  </si>
  <si>
    <t>B2.5</t>
  </si>
  <si>
    <t>Preparing and apply one coat of Alkali resistant primer and two coats of weathershield paint to second floor walls.</t>
  </si>
  <si>
    <t>B2.6</t>
  </si>
  <si>
    <t>Preparing and apply one coat of alkali resistant primer and two coats of emulsion paint to soffit of roof slabs</t>
  </si>
  <si>
    <t>B2.7</t>
  </si>
  <si>
    <t>Preparing and apply one coat of Alkali resistant primer and two coats of emulsion paint to roof level walls.</t>
  </si>
  <si>
    <t>B2.8</t>
  </si>
  <si>
    <t>Preparing and apply one coat of Alkali resistant primer and two coats of weathershield paint to roof level walls.</t>
  </si>
  <si>
    <t>B2.9</t>
  </si>
  <si>
    <t>Preparing and apply one coat of alkali resistant primer and two coats of emulsion paint to soffit of above roof floor slabs</t>
  </si>
  <si>
    <t>B3</t>
  </si>
  <si>
    <t>Tilling / Flooring</t>
  </si>
  <si>
    <t>B3.1</t>
  </si>
  <si>
    <t>Glazed tiles fixed to walls including bedding in cement mortar 1:2 and raking in first floor.</t>
  </si>
  <si>
    <t>B3.2</t>
  </si>
  <si>
    <t>Pressed floor tiles bedded in 1/2" cement mortar 1:2 and pointing in neat cement in first floor</t>
  </si>
  <si>
    <t>B3.3</t>
  </si>
  <si>
    <t>1/2" thick rendering in cement and sand 1:2 in floors,  finished smooth in first floor</t>
  </si>
  <si>
    <t>B3.4</t>
  </si>
  <si>
    <t>Supply and laying of  Loop pile carpets or cut pile carpet including all necesory fixtures and applications to get neat finish on cement rendered surface in first floor</t>
  </si>
  <si>
    <t>B3.5</t>
  </si>
  <si>
    <t>Glazed tiles fixed to walls including bedding in cement mortar 1:2 and raking in second floor.</t>
  </si>
  <si>
    <t>B3.6</t>
  </si>
  <si>
    <t>Pressed floor tiles bedded in 1/2" cement mortar 1:2 and pointing in neat cement in second floor</t>
  </si>
  <si>
    <t>B3.7</t>
  </si>
  <si>
    <t>1/2" thick rendering in cement and sand 1:2 in floors,  finished smooth in second floor</t>
  </si>
  <si>
    <t>B3.8</t>
  </si>
  <si>
    <t>Glazed tiles fixed to walls including bedding in cement mortar 1:2 and raking in roof floor.</t>
  </si>
  <si>
    <t>B3.9</t>
  </si>
  <si>
    <t>Pressed floor tiles bedded in 1/2" cement mortar 1:2 and pointing in neat cement in roof floor</t>
  </si>
  <si>
    <t>B3.10</t>
  </si>
  <si>
    <t>1/2" thick rendering in cement and sand 1:2 in floors,  finished smooth in froof floor</t>
  </si>
  <si>
    <t>B3.11</t>
  </si>
  <si>
    <t>1/2" thick rendering in cement and sand 1:2 in floors,  finished smooth in stair case steps and landings. Rate to include steps finished with nosing.</t>
  </si>
  <si>
    <t>C</t>
  </si>
  <si>
    <t>Plumbing</t>
  </si>
  <si>
    <t>C1.1</t>
  </si>
  <si>
    <t>First Floor Level plumbing work for sewerage, waste water and strom water drainage to meet general standards and regulations with high quality pipes and fittings to match with the architectural drawings provided</t>
  </si>
  <si>
    <t>C1.2</t>
  </si>
  <si>
    <t>Second Floor Level plumbing work for sewerage, waste water and strom water drainage to meet general standards and regulations with high quality pipes and fittings to match with the architectural drawings provided</t>
  </si>
  <si>
    <t>C1.3</t>
  </si>
  <si>
    <t>Toof Floor Level plumbing work for sewerage, waste water and strom water drainage to meet general standards and regulations with high quality pipes and fittings to match with the architectural drawings provided</t>
  </si>
  <si>
    <t>C1.4</t>
  </si>
  <si>
    <t xml:space="preserve">Supply and fixing of approved quality WC with necessary accessories and fittings </t>
  </si>
  <si>
    <t>C1.5</t>
  </si>
  <si>
    <t xml:space="preserve">Supply and fixing of approved quality Wsh basines with necessary accessories and fittings </t>
  </si>
  <si>
    <t>C1.6</t>
  </si>
  <si>
    <t xml:space="preserve">Supply and fixing of approved quality shower head with necessary accessories and fittings </t>
  </si>
  <si>
    <t>C1.7</t>
  </si>
  <si>
    <t>Supply and fixing of complete set of fittings and accesorie for a standard disabled toilet to complete.</t>
  </si>
  <si>
    <t>D</t>
  </si>
  <si>
    <t>Electrical &amp; Other Serveices</t>
  </si>
  <si>
    <t>D1</t>
  </si>
  <si>
    <t>Supply and fixing of DB's at eah floor levels connected to main supply and provide required wiring through out the building to cover required light and socket points and fixing of required and approved quality electrical fittings and bulbs to complete required elctricity supply to the building.</t>
  </si>
  <si>
    <t>D2</t>
  </si>
  <si>
    <t>Supply and installation of AC system to cover main hall so that entire volume of hall could be coverd. Rate to include all necessary accessories, pipes &amp; laying of pipes and required wiring in between each units to complete the entire AC system.</t>
  </si>
  <si>
    <t>E</t>
  </si>
  <si>
    <t>Others</t>
  </si>
  <si>
    <t>E1</t>
  </si>
  <si>
    <t>Stairway handrail finished with steel box bars and timber top railing. Rate to include necessary steel painting and timber painting.</t>
  </si>
  <si>
    <t>ft</t>
  </si>
  <si>
    <t>E2</t>
  </si>
  <si>
    <t>Steel guard rail around the first and second floor slabs edges to an approved design and finishes.</t>
  </si>
  <si>
    <t>E3</t>
  </si>
  <si>
    <t>Supply of single size steel bunk beds with metress</t>
  </si>
  <si>
    <t>E4</t>
  </si>
  <si>
    <t>Supply of disabled beds with metress</t>
  </si>
  <si>
    <t>E5</t>
  </si>
  <si>
    <t>Supply and installation of toilet partition with Plastic/PVC materials as per the drawings.</t>
  </si>
  <si>
    <t>F</t>
  </si>
  <si>
    <t xml:space="preserve">Water proofing </t>
  </si>
  <si>
    <t>Supply and installation of waterproofing system to Roof terrace, Bathrooms &amp; Toilets and balconeys. Rate to include a protective layer.</t>
  </si>
  <si>
    <t>Total</t>
  </si>
  <si>
    <t>Sqft Rate</t>
  </si>
</sst>
</file>

<file path=xl/styles.xml><?xml version="1.0" encoding="utf-8"?>
<styleSheet xmlns="http://schemas.openxmlformats.org/spreadsheetml/2006/main">
  <numFmts count="6">
    <numFmt numFmtId="42" formatCode="_(&quot;$&quot;* #,##0_);_(&quot;$&quot;* \(#,##0\);_(&quot;$&quot;* &quot;-&quot;_);_(@_)"/>
    <numFmt numFmtId="176" formatCode="_ * #,##0_ ;_ * \-#,##0_ ;_ * &quot;-&quot;_ ;_ @_ "/>
    <numFmt numFmtId="177" formatCode="_-* #,##0.00_-;\-* #,##0.00_-;_-* &quot;-&quot;??_-;_-@_-"/>
    <numFmt numFmtId="178" formatCode="_ * #,##0.00_ ;_ * \-#,##0.00_ ;_ * &quot;-&quot;??_ ;_ @_ "/>
    <numFmt numFmtId="44" formatCode="_(&quot;$&quot;* #,##0.00_);_(&quot;$&quot;* \(#,##0.00\);_(&quot;$&quot;* &quot;-&quot;??_);_(@_)"/>
    <numFmt numFmtId="179" formatCode="0.0"/>
  </numFmts>
  <fonts count="24">
    <font>
      <sz val="11"/>
      <color theme="1"/>
      <name val="Calibri"/>
      <charset val="134"/>
      <scheme val="minor"/>
    </font>
    <font>
      <b/>
      <sz val="10"/>
      <name val="Arial"/>
      <charset val="134"/>
    </font>
    <font>
      <sz val="10"/>
      <name val="Arial"/>
      <charset val="134"/>
    </font>
    <font>
      <b/>
      <u/>
      <sz val="10"/>
      <name val="Arial"/>
      <charset val="134"/>
    </font>
    <font>
      <sz val="11"/>
      <color rgb="FF9C6500"/>
      <name val="Calibri"/>
      <charset val="0"/>
      <scheme val="minor"/>
    </font>
    <font>
      <b/>
      <sz val="11"/>
      <color theme="3"/>
      <name val="Calibri"/>
      <charset val="134"/>
      <scheme val="minor"/>
    </font>
    <font>
      <u/>
      <sz val="11"/>
      <color rgb="FF0000FF"/>
      <name val="Calibri"/>
      <charset val="0"/>
      <scheme val="minor"/>
    </font>
    <font>
      <sz val="11"/>
      <color theme="1"/>
      <name val="Calibri"/>
      <charset val="134"/>
      <scheme val="minor"/>
    </font>
    <font>
      <sz val="11"/>
      <color theme="1"/>
      <name val="Calibri"/>
      <charset val="0"/>
      <scheme val="minor"/>
    </font>
    <font>
      <b/>
      <sz val="11"/>
      <color rgb="FFFA7D00"/>
      <name val="Calibri"/>
      <charset val="0"/>
      <scheme val="minor"/>
    </font>
    <font>
      <sz val="11"/>
      <color rgb="FF3F3F76"/>
      <name val="Calibri"/>
      <charset val="0"/>
      <scheme val="minor"/>
    </font>
    <font>
      <sz val="11"/>
      <color theme="0"/>
      <name val="Calibri"/>
      <charset val="0"/>
      <scheme val="minor"/>
    </font>
    <font>
      <u/>
      <sz val="11"/>
      <color rgb="FF800080"/>
      <name val="Calibri"/>
      <charset val="0"/>
      <scheme val="minor"/>
    </font>
    <font>
      <b/>
      <sz val="11"/>
      <color rgb="FFFFFFFF"/>
      <name val="Calibri"/>
      <charset val="0"/>
      <scheme val="minor"/>
    </font>
    <font>
      <sz val="11"/>
      <color rgb="FFFF0000"/>
      <name val="Calibri"/>
      <charset val="0"/>
      <scheme val="minor"/>
    </font>
    <font>
      <b/>
      <sz val="13"/>
      <color theme="3"/>
      <name val="Calibri"/>
      <charset val="134"/>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006100"/>
      <name val="Calibri"/>
      <charset val="0"/>
      <scheme val="minor"/>
    </font>
    <font>
      <sz val="11"/>
      <color rgb="FF9C0006"/>
      <name val="Calibri"/>
      <charset val="0"/>
      <scheme val="minor"/>
    </font>
    <font>
      <b/>
      <sz val="11"/>
      <color rgb="FF3F3F3F"/>
      <name val="Calibri"/>
      <charset val="0"/>
      <scheme val="minor"/>
    </font>
    <font>
      <sz val="11"/>
      <color rgb="FFFA7D00"/>
      <name val="Calibri"/>
      <charset val="0"/>
      <scheme val="minor"/>
    </font>
    <font>
      <b/>
      <sz val="11"/>
      <color theme="1"/>
      <name val="Calibri"/>
      <charset val="0"/>
      <scheme val="minor"/>
    </font>
  </fonts>
  <fills count="33">
    <fill>
      <patternFill patternType="none"/>
    </fill>
    <fill>
      <patternFill patternType="gray125"/>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0" fontId="8" fillId="4" borderId="0" applyNumberFormat="0" applyBorder="0" applyAlignment="0" applyProtection="0">
      <alignment vertical="center"/>
    </xf>
    <xf numFmtId="178" fontId="7" fillId="0" borderId="0" applyFont="0" applyFill="0" applyBorder="0" applyAlignment="0" applyProtection="0">
      <alignment vertical="center"/>
    </xf>
    <xf numFmtId="176" fontId="7" fillId="0" borderId="0" applyFont="0" applyFill="0" applyBorder="0" applyAlignment="0" applyProtection="0">
      <alignment vertical="center"/>
    </xf>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pplyNumberForma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12" borderId="7" applyNumberFormat="0" applyAlignment="0" applyProtection="0">
      <alignment vertical="center"/>
    </xf>
    <xf numFmtId="0" fontId="15" fillId="0" borderId="8" applyNumberFormat="0" applyFill="0" applyAlignment="0" applyProtection="0">
      <alignment vertical="center"/>
    </xf>
    <xf numFmtId="0" fontId="7" fillId="13" borderId="9" applyNumberFormat="0" applyFont="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5" fillId="0" borderId="5" applyNumberFormat="0" applyFill="0" applyAlignment="0" applyProtection="0">
      <alignment vertical="center"/>
    </xf>
    <xf numFmtId="0" fontId="5" fillId="0" borderId="0" applyNumberFormat="0" applyFill="0" applyBorder="0" applyAlignment="0" applyProtection="0">
      <alignment vertical="center"/>
    </xf>
    <xf numFmtId="0" fontId="10" fillId="7" borderId="6" applyNumberFormat="0" applyAlignment="0" applyProtection="0">
      <alignment vertical="center"/>
    </xf>
    <xf numFmtId="0" fontId="11" fillId="16" borderId="0" applyNumberFormat="0" applyBorder="0" applyAlignment="0" applyProtection="0">
      <alignment vertical="center"/>
    </xf>
    <xf numFmtId="0" fontId="19" fillId="19" borderId="0" applyNumberFormat="0" applyBorder="0" applyAlignment="0" applyProtection="0">
      <alignment vertical="center"/>
    </xf>
    <xf numFmtId="0" fontId="21" fillId="6" borderId="10" applyNumberFormat="0" applyAlignment="0" applyProtection="0">
      <alignment vertical="center"/>
    </xf>
    <xf numFmtId="0" fontId="8" fillId="22" borderId="0" applyNumberFormat="0" applyBorder="0" applyAlignment="0" applyProtection="0">
      <alignment vertical="center"/>
    </xf>
    <xf numFmtId="0" fontId="9" fillId="6" borderId="6"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0" fillId="20" borderId="0" applyNumberFormat="0" applyBorder="0" applyAlignment="0" applyProtection="0">
      <alignment vertical="center"/>
    </xf>
    <xf numFmtId="0" fontId="4" fillId="2" borderId="0" applyNumberFormat="0" applyBorder="0" applyAlignment="0" applyProtection="0">
      <alignment vertical="center"/>
    </xf>
    <xf numFmtId="0" fontId="11" fillId="23" borderId="0" applyNumberFormat="0" applyBorder="0" applyAlignment="0" applyProtection="0">
      <alignment vertical="center"/>
    </xf>
    <xf numFmtId="0" fontId="2" fillId="0" borderId="0"/>
    <xf numFmtId="0" fontId="8" fillId="24"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8" fillId="29" borderId="0" applyNumberFormat="0" applyBorder="0" applyAlignment="0" applyProtection="0">
      <alignment vertical="center"/>
    </xf>
    <xf numFmtId="0" fontId="11" fillId="14"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Alignment="0" applyProtection="0">
      <alignment vertical="center"/>
    </xf>
    <xf numFmtId="0" fontId="11" fillId="11" borderId="0" applyNumberFormat="0" applyBorder="0" applyAlignment="0" applyProtection="0">
      <alignment vertical="center"/>
    </xf>
    <xf numFmtId="0" fontId="8" fillId="18"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8" fillId="32" borderId="0" applyNumberFormat="0" applyBorder="0" applyAlignment="0" applyProtection="0">
      <alignment vertical="center"/>
    </xf>
    <xf numFmtId="0" fontId="11" fillId="21" borderId="0" applyNumberFormat="0" applyBorder="0" applyAlignment="0" applyProtection="0">
      <alignment vertical="center"/>
    </xf>
    <xf numFmtId="0" fontId="2" fillId="0" borderId="0" applyFont="0" applyFill="0" applyBorder="0" applyAlignment="0" applyProtection="0"/>
  </cellStyleXfs>
  <cellXfs count="39">
    <xf numFmtId="0" fontId="0" fillId="0" borderId="0" xfId="0"/>
    <xf numFmtId="0" fontId="1" fillId="0" borderId="0" xfId="32" applyFont="1"/>
    <xf numFmtId="0" fontId="2" fillId="0" borderId="0" xfId="32" applyAlignment="1">
      <alignment horizontal="center"/>
    </xf>
    <xf numFmtId="0" fontId="2" fillId="0" borderId="0" xfId="32"/>
    <xf numFmtId="177" fontId="0" fillId="0" borderId="0" xfId="50" applyNumberFormat="1" applyFont="1"/>
    <xf numFmtId="0" fontId="3" fillId="0" borderId="0" xfId="32" applyFont="1" applyAlignment="1">
      <alignment horizontal="centerContinuous" vertical="center" wrapText="1"/>
    </xf>
    <xf numFmtId="0" fontId="2" fillId="0" borderId="0" xfId="32" applyAlignment="1">
      <alignment horizontal="centerContinuous" wrapText="1"/>
    </xf>
    <xf numFmtId="177" fontId="0" fillId="0" borderId="0" xfId="50" applyNumberFormat="1" applyFont="1" applyAlignment="1">
      <alignment horizontal="centerContinuous" wrapText="1"/>
    </xf>
    <xf numFmtId="0" fontId="1" fillId="0" borderId="1" xfId="32" applyFont="1" applyBorder="1" applyAlignment="1">
      <alignment horizontal="center" vertical="center"/>
    </xf>
    <xf numFmtId="0" fontId="1" fillId="0" borderId="1" xfId="32" applyFont="1" applyBorder="1" applyAlignment="1">
      <alignment vertical="center"/>
    </xf>
    <xf numFmtId="177" fontId="1" fillId="0" borderId="1" xfId="50" applyNumberFormat="1" applyFont="1" applyBorder="1" applyAlignment="1">
      <alignment vertical="center"/>
    </xf>
    <xf numFmtId="0" fontId="1" fillId="0" borderId="1" xfId="32" applyFont="1" applyBorder="1" applyAlignment="1">
      <alignment horizontal="center"/>
    </xf>
    <xf numFmtId="0" fontId="1" fillId="0" borderId="1" xfId="32" applyFont="1" applyBorder="1"/>
    <xf numFmtId="0" fontId="2" fillId="0" borderId="1" xfId="32" applyBorder="1" applyAlignment="1">
      <alignment horizontal="center"/>
    </xf>
    <xf numFmtId="177" fontId="0" fillId="0" borderId="1" xfId="50" applyNumberFormat="1" applyFont="1" applyBorder="1"/>
    <xf numFmtId="0" fontId="2" fillId="0" borderId="1" xfId="32" applyFont="1" applyBorder="1" applyAlignment="1">
      <alignment horizontal="center"/>
    </xf>
    <xf numFmtId="0" fontId="2" fillId="0" borderId="1" xfId="32" applyFont="1" applyBorder="1"/>
    <xf numFmtId="0" fontId="2" fillId="0" borderId="1" xfId="32" applyFont="1" applyBorder="1" applyAlignment="1">
      <alignment horizontal="center" vertical="top"/>
    </xf>
    <xf numFmtId="0" fontId="2" fillId="0" borderId="1" xfId="32" applyFont="1" applyBorder="1" applyAlignment="1">
      <alignment wrapText="1"/>
    </xf>
    <xf numFmtId="0" fontId="1" fillId="0" borderId="1" xfId="32" applyFont="1" applyBorder="1" applyAlignment="1">
      <alignment horizontal="center" vertical="top"/>
    </xf>
    <xf numFmtId="0" fontId="1" fillId="0" borderId="1" xfId="32" applyFont="1" applyBorder="1" applyAlignment="1">
      <alignment wrapText="1"/>
    </xf>
    <xf numFmtId="1" fontId="2" fillId="0" borderId="1" xfId="32" applyNumberFormat="1" applyBorder="1" applyAlignment="1">
      <alignment horizontal="center"/>
    </xf>
    <xf numFmtId="0" fontId="2" fillId="0" borderId="1" xfId="32" applyFont="1" applyBorder="1" applyAlignment="1">
      <alignment horizontal="center" wrapText="1"/>
    </xf>
    <xf numFmtId="179" fontId="2" fillId="0" borderId="1" xfId="32" applyNumberFormat="1" applyBorder="1" applyAlignment="1">
      <alignment horizontal="center" wrapText="1"/>
    </xf>
    <xf numFmtId="177" fontId="0" fillId="0" borderId="1" xfId="50" applyNumberFormat="1" applyFont="1" applyBorder="1" applyAlignment="1">
      <alignment wrapText="1"/>
    </xf>
    <xf numFmtId="0" fontId="2" fillId="0" borderId="0" xfId="32" applyAlignment="1">
      <alignment wrapText="1"/>
    </xf>
    <xf numFmtId="179" fontId="2" fillId="0" borderId="1" xfId="32" applyNumberFormat="1" applyBorder="1" applyAlignment="1">
      <alignment horizontal="center"/>
    </xf>
    <xf numFmtId="2" fontId="2" fillId="0" borderId="1" xfId="32" applyNumberFormat="1" applyBorder="1" applyAlignment="1">
      <alignment horizontal="center"/>
    </xf>
    <xf numFmtId="177" fontId="1" fillId="0" borderId="1" xfId="50" applyNumberFormat="1" applyFont="1" applyBorder="1"/>
    <xf numFmtId="0" fontId="2" fillId="0" borderId="1" xfId="32" applyBorder="1" applyAlignment="1">
      <alignment horizontal="center" wrapText="1"/>
    </xf>
    <xf numFmtId="0" fontId="1" fillId="0" borderId="1" xfId="32" applyFont="1" applyBorder="1" applyAlignment="1">
      <alignment horizontal="center" wrapText="1"/>
    </xf>
    <xf numFmtId="177" fontId="2" fillId="0" borderId="0" xfId="32" applyNumberFormat="1"/>
    <xf numFmtId="0" fontId="2" fillId="0" borderId="1" xfId="32" applyBorder="1"/>
    <xf numFmtId="0" fontId="2" fillId="0" borderId="1" xfId="32" applyBorder="1" applyAlignment="1">
      <alignment horizontal="center" vertical="top"/>
    </xf>
    <xf numFmtId="0" fontId="2" fillId="0" borderId="1" xfId="32" applyBorder="1" applyAlignment="1">
      <alignment wrapText="1"/>
    </xf>
    <xf numFmtId="0" fontId="1" fillId="0" borderId="2" xfId="32" applyFont="1" applyBorder="1" applyAlignment="1">
      <alignment horizontal="centerContinuous"/>
    </xf>
    <xf numFmtId="0" fontId="1" fillId="0" borderId="3" xfId="32" applyFont="1" applyBorder="1" applyAlignment="1">
      <alignment horizontal="centerContinuous"/>
    </xf>
    <xf numFmtId="177" fontId="1" fillId="0" borderId="4" xfId="50" applyNumberFormat="1" applyFont="1" applyBorder="1" applyAlignment="1">
      <alignment horizontal="centerContinuous"/>
    </xf>
    <xf numFmtId="1" fontId="1" fillId="0" borderId="0" xfId="32" applyNumberFormat="1" applyFont="1"/>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Comma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4"/>
  <sheetViews>
    <sheetView tabSelected="1" zoomScale="99" zoomScaleNormal="99" topLeftCell="A88" workbookViewId="0">
      <selection activeCell="N40" sqref="N40"/>
    </sheetView>
  </sheetViews>
  <sheetFormatPr defaultColWidth="9" defaultRowHeight="14.4"/>
  <cols>
    <col min="1" max="1" width="9.13888888888889" style="2" customWidth="1"/>
    <col min="2" max="2" width="28.8518518518519" style="3" customWidth="1"/>
    <col min="3" max="4" width="9.13888888888889" style="3"/>
    <col min="5" max="6" width="17.8518518518519" style="4" customWidth="1"/>
    <col min="7" max="14" width="9.13888888888889" style="3"/>
    <col min="15" max="15" width="13.287037037037" style="3" customWidth="1"/>
    <col min="16" max="256" width="9.13888888888889" style="3"/>
    <col min="257" max="257" width="9.13888888888889" style="3" customWidth="1"/>
    <col min="258" max="258" width="28.8518518518519" style="3" customWidth="1"/>
    <col min="259" max="260" width="9.13888888888889" style="3"/>
    <col min="261" max="262" width="17.8518518518519" style="3" customWidth="1"/>
    <col min="263" max="270" width="9.13888888888889" style="3"/>
    <col min="271" max="271" width="13.287037037037" style="3" customWidth="1"/>
    <col min="272" max="512" width="9.13888888888889" style="3"/>
    <col min="513" max="513" width="9.13888888888889" style="3" customWidth="1"/>
    <col min="514" max="514" width="28.8518518518519" style="3" customWidth="1"/>
    <col min="515" max="516" width="9.13888888888889" style="3"/>
    <col min="517" max="518" width="17.8518518518519" style="3" customWidth="1"/>
    <col min="519" max="526" width="9.13888888888889" style="3"/>
    <col min="527" max="527" width="13.287037037037" style="3" customWidth="1"/>
    <col min="528" max="768" width="9.13888888888889" style="3"/>
    <col min="769" max="769" width="9.13888888888889" style="3" customWidth="1"/>
    <col min="770" max="770" width="28.8518518518519" style="3" customWidth="1"/>
    <col min="771" max="772" width="9.13888888888889" style="3"/>
    <col min="773" max="774" width="17.8518518518519" style="3" customWidth="1"/>
    <col min="775" max="782" width="9.13888888888889" style="3"/>
    <col min="783" max="783" width="13.287037037037" style="3" customWidth="1"/>
    <col min="784" max="1024" width="9.13888888888889" style="3"/>
    <col min="1025" max="1025" width="9.13888888888889" style="3" customWidth="1"/>
    <col min="1026" max="1026" width="28.8518518518519" style="3" customWidth="1"/>
    <col min="1027" max="1028" width="9.13888888888889" style="3"/>
    <col min="1029" max="1030" width="17.8518518518519" style="3" customWidth="1"/>
    <col min="1031" max="1038" width="9.13888888888889" style="3"/>
    <col min="1039" max="1039" width="13.287037037037" style="3" customWidth="1"/>
    <col min="1040" max="1280" width="9.13888888888889" style="3"/>
    <col min="1281" max="1281" width="9.13888888888889" style="3" customWidth="1"/>
    <col min="1282" max="1282" width="28.8518518518519" style="3" customWidth="1"/>
    <col min="1283" max="1284" width="9.13888888888889" style="3"/>
    <col min="1285" max="1286" width="17.8518518518519" style="3" customWidth="1"/>
    <col min="1287" max="1294" width="9.13888888888889" style="3"/>
    <col min="1295" max="1295" width="13.287037037037" style="3" customWidth="1"/>
    <col min="1296" max="1536" width="9.13888888888889" style="3"/>
    <col min="1537" max="1537" width="9.13888888888889" style="3" customWidth="1"/>
    <col min="1538" max="1538" width="28.8518518518519" style="3" customWidth="1"/>
    <col min="1539" max="1540" width="9.13888888888889" style="3"/>
    <col min="1541" max="1542" width="17.8518518518519" style="3" customWidth="1"/>
    <col min="1543" max="1550" width="9.13888888888889" style="3"/>
    <col min="1551" max="1551" width="13.287037037037" style="3" customWidth="1"/>
    <col min="1552" max="1792" width="9.13888888888889" style="3"/>
    <col min="1793" max="1793" width="9.13888888888889" style="3" customWidth="1"/>
    <col min="1794" max="1794" width="28.8518518518519" style="3" customWidth="1"/>
    <col min="1795" max="1796" width="9.13888888888889" style="3"/>
    <col min="1797" max="1798" width="17.8518518518519" style="3" customWidth="1"/>
    <col min="1799" max="1806" width="9.13888888888889" style="3"/>
    <col min="1807" max="1807" width="13.287037037037" style="3" customWidth="1"/>
    <col min="1808" max="2048" width="9.13888888888889" style="3"/>
    <col min="2049" max="2049" width="9.13888888888889" style="3" customWidth="1"/>
    <col min="2050" max="2050" width="28.8518518518519" style="3" customWidth="1"/>
    <col min="2051" max="2052" width="9.13888888888889" style="3"/>
    <col min="2053" max="2054" width="17.8518518518519" style="3" customWidth="1"/>
    <col min="2055" max="2062" width="9.13888888888889" style="3"/>
    <col min="2063" max="2063" width="13.287037037037" style="3" customWidth="1"/>
    <col min="2064" max="2304" width="9.13888888888889" style="3"/>
    <col min="2305" max="2305" width="9.13888888888889" style="3" customWidth="1"/>
    <col min="2306" max="2306" width="28.8518518518519" style="3" customWidth="1"/>
    <col min="2307" max="2308" width="9.13888888888889" style="3"/>
    <col min="2309" max="2310" width="17.8518518518519" style="3" customWidth="1"/>
    <col min="2311" max="2318" width="9.13888888888889" style="3"/>
    <col min="2319" max="2319" width="13.287037037037" style="3" customWidth="1"/>
    <col min="2320" max="2560" width="9.13888888888889" style="3"/>
    <col min="2561" max="2561" width="9.13888888888889" style="3" customWidth="1"/>
    <col min="2562" max="2562" width="28.8518518518519" style="3" customWidth="1"/>
    <col min="2563" max="2564" width="9.13888888888889" style="3"/>
    <col min="2565" max="2566" width="17.8518518518519" style="3" customWidth="1"/>
    <col min="2567" max="2574" width="9.13888888888889" style="3"/>
    <col min="2575" max="2575" width="13.287037037037" style="3" customWidth="1"/>
    <col min="2576" max="2816" width="9.13888888888889" style="3"/>
    <col min="2817" max="2817" width="9.13888888888889" style="3" customWidth="1"/>
    <col min="2818" max="2818" width="28.8518518518519" style="3" customWidth="1"/>
    <col min="2819" max="2820" width="9.13888888888889" style="3"/>
    <col min="2821" max="2822" width="17.8518518518519" style="3" customWidth="1"/>
    <col min="2823" max="2830" width="9.13888888888889" style="3"/>
    <col min="2831" max="2831" width="13.287037037037" style="3" customWidth="1"/>
    <col min="2832" max="3072" width="9.13888888888889" style="3"/>
    <col min="3073" max="3073" width="9.13888888888889" style="3" customWidth="1"/>
    <col min="3074" max="3074" width="28.8518518518519" style="3" customWidth="1"/>
    <col min="3075" max="3076" width="9.13888888888889" style="3"/>
    <col min="3077" max="3078" width="17.8518518518519" style="3" customWidth="1"/>
    <col min="3079" max="3086" width="9.13888888888889" style="3"/>
    <col min="3087" max="3087" width="13.287037037037" style="3" customWidth="1"/>
    <col min="3088" max="3328" width="9.13888888888889" style="3"/>
    <col min="3329" max="3329" width="9.13888888888889" style="3" customWidth="1"/>
    <col min="3330" max="3330" width="28.8518518518519" style="3" customWidth="1"/>
    <col min="3331" max="3332" width="9.13888888888889" style="3"/>
    <col min="3333" max="3334" width="17.8518518518519" style="3" customWidth="1"/>
    <col min="3335" max="3342" width="9.13888888888889" style="3"/>
    <col min="3343" max="3343" width="13.287037037037" style="3" customWidth="1"/>
    <col min="3344" max="3584" width="9.13888888888889" style="3"/>
    <col min="3585" max="3585" width="9.13888888888889" style="3" customWidth="1"/>
    <col min="3586" max="3586" width="28.8518518518519" style="3" customWidth="1"/>
    <col min="3587" max="3588" width="9.13888888888889" style="3"/>
    <col min="3589" max="3590" width="17.8518518518519" style="3" customWidth="1"/>
    <col min="3591" max="3598" width="9.13888888888889" style="3"/>
    <col min="3599" max="3599" width="13.287037037037" style="3" customWidth="1"/>
    <col min="3600" max="3840" width="9.13888888888889" style="3"/>
    <col min="3841" max="3841" width="9.13888888888889" style="3" customWidth="1"/>
    <col min="3842" max="3842" width="28.8518518518519" style="3" customWidth="1"/>
    <col min="3843" max="3844" width="9.13888888888889" style="3"/>
    <col min="3845" max="3846" width="17.8518518518519" style="3" customWidth="1"/>
    <col min="3847" max="3854" width="9.13888888888889" style="3"/>
    <col min="3855" max="3855" width="13.287037037037" style="3" customWidth="1"/>
    <col min="3856" max="4096" width="9.13888888888889" style="3"/>
    <col min="4097" max="4097" width="9.13888888888889" style="3" customWidth="1"/>
    <col min="4098" max="4098" width="28.8518518518519" style="3" customWidth="1"/>
    <col min="4099" max="4100" width="9.13888888888889" style="3"/>
    <col min="4101" max="4102" width="17.8518518518519" style="3" customWidth="1"/>
    <col min="4103" max="4110" width="9.13888888888889" style="3"/>
    <col min="4111" max="4111" width="13.287037037037" style="3" customWidth="1"/>
    <col min="4112" max="4352" width="9.13888888888889" style="3"/>
    <col min="4353" max="4353" width="9.13888888888889" style="3" customWidth="1"/>
    <col min="4354" max="4354" width="28.8518518518519" style="3" customWidth="1"/>
    <col min="4355" max="4356" width="9.13888888888889" style="3"/>
    <col min="4357" max="4358" width="17.8518518518519" style="3" customWidth="1"/>
    <col min="4359" max="4366" width="9.13888888888889" style="3"/>
    <col min="4367" max="4367" width="13.287037037037" style="3" customWidth="1"/>
    <col min="4368" max="4608" width="9.13888888888889" style="3"/>
    <col min="4609" max="4609" width="9.13888888888889" style="3" customWidth="1"/>
    <col min="4610" max="4610" width="28.8518518518519" style="3" customWidth="1"/>
    <col min="4611" max="4612" width="9.13888888888889" style="3"/>
    <col min="4613" max="4614" width="17.8518518518519" style="3" customWidth="1"/>
    <col min="4615" max="4622" width="9.13888888888889" style="3"/>
    <col min="4623" max="4623" width="13.287037037037" style="3" customWidth="1"/>
    <col min="4624" max="4864" width="9.13888888888889" style="3"/>
    <col min="4865" max="4865" width="9.13888888888889" style="3" customWidth="1"/>
    <col min="4866" max="4866" width="28.8518518518519" style="3" customWidth="1"/>
    <col min="4867" max="4868" width="9.13888888888889" style="3"/>
    <col min="4869" max="4870" width="17.8518518518519" style="3" customWidth="1"/>
    <col min="4871" max="4878" width="9.13888888888889" style="3"/>
    <col min="4879" max="4879" width="13.287037037037" style="3" customWidth="1"/>
    <col min="4880" max="5120" width="9.13888888888889" style="3"/>
    <col min="5121" max="5121" width="9.13888888888889" style="3" customWidth="1"/>
    <col min="5122" max="5122" width="28.8518518518519" style="3" customWidth="1"/>
    <col min="5123" max="5124" width="9.13888888888889" style="3"/>
    <col min="5125" max="5126" width="17.8518518518519" style="3" customWidth="1"/>
    <col min="5127" max="5134" width="9.13888888888889" style="3"/>
    <col min="5135" max="5135" width="13.287037037037" style="3" customWidth="1"/>
    <col min="5136" max="5376" width="9.13888888888889" style="3"/>
    <col min="5377" max="5377" width="9.13888888888889" style="3" customWidth="1"/>
    <col min="5378" max="5378" width="28.8518518518519" style="3" customWidth="1"/>
    <col min="5379" max="5380" width="9.13888888888889" style="3"/>
    <col min="5381" max="5382" width="17.8518518518519" style="3" customWidth="1"/>
    <col min="5383" max="5390" width="9.13888888888889" style="3"/>
    <col min="5391" max="5391" width="13.287037037037" style="3" customWidth="1"/>
    <col min="5392" max="5632" width="9.13888888888889" style="3"/>
    <col min="5633" max="5633" width="9.13888888888889" style="3" customWidth="1"/>
    <col min="5634" max="5634" width="28.8518518518519" style="3" customWidth="1"/>
    <col min="5635" max="5636" width="9.13888888888889" style="3"/>
    <col min="5637" max="5638" width="17.8518518518519" style="3" customWidth="1"/>
    <col min="5639" max="5646" width="9.13888888888889" style="3"/>
    <col min="5647" max="5647" width="13.287037037037" style="3" customWidth="1"/>
    <col min="5648" max="5888" width="9.13888888888889" style="3"/>
    <col min="5889" max="5889" width="9.13888888888889" style="3" customWidth="1"/>
    <col min="5890" max="5890" width="28.8518518518519" style="3" customWidth="1"/>
    <col min="5891" max="5892" width="9.13888888888889" style="3"/>
    <col min="5893" max="5894" width="17.8518518518519" style="3" customWidth="1"/>
    <col min="5895" max="5902" width="9.13888888888889" style="3"/>
    <col min="5903" max="5903" width="13.287037037037" style="3" customWidth="1"/>
    <col min="5904" max="6144" width="9.13888888888889" style="3"/>
    <col min="6145" max="6145" width="9.13888888888889" style="3" customWidth="1"/>
    <col min="6146" max="6146" width="28.8518518518519" style="3" customWidth="1"/>
    <col min="6147" max="6148" width="9.13888888888889" style="3"/>
    <col min="6149" max="6150" width="17.8518518518519" style="3" customWidth="1"/>
    <col min="6151" max="6158" width="9.13888888888889" style="3"/>
    <col min="6159" max="6159" width="13.287037037037" style="3" customWidth="1"/>
    <col min="6160" max="6400" width="9.13888888888889" style="3"/>
    <col min="6401" max="6401" width="9.13888888888889" style="3" customWidth="1"/>
    <col min="6402" max="6402" width="28.8518518518519" style="3" customWidth="1"/>
    <col min="6403" max="6404" width="9.13888888888889" style="3"/>
    <col min="6405" max="6406" width="17.8518518518519" style="3" customWidth="1"/>
    <col min="6407" max="6414" width="9.13888888888889" style="3"/>
    <col min="6415" max="6415" width="13.287037037037" style="3" customWidth="1"/>
    <col min="6416" max="6656" width="9.13888888888889" style="3"/>
    <col min="6657" max="6657" width="9.13888888888889" style="3" customWidth="1"/>
    <col min="6658" max="6658" width="28.8518518518519" style="3" customWidth="1"/>
    <col min="6659" max="6660" width="9.13888888888889" style="3"/>
    <col min="6661" max="6662" width="17.8518518518519" style="3" customWidth="1"/>
    <col min="6663" max="6670" width="9.13888888888889" style="3"/>
    <col min="6671" max="6671" width="13.287037037037" style="3" customWidth="1"/>
    <col min="6672" max="6912" width="9.13888888888889" style="3"/>
    <col min="6913" max="6913" width="9.13888888888889" style="3" customWidth="1"/>
    <col min="6914" max="6914" width="28.8518518518519" style="3" customWidth="1"/>
    <col min="6915" max="6916" width="9.13888888888889" style="3"/>
    <col min="6917" max="6918" width="17.8518518518519" style="3" customWidth="1"/>
    <col min="6919" max="6926" width="9.13888888888889" style="3"/>
    <col min="6927" max="6927" width="13.287037037037" style="3" customWidth="1"/>
    <col min="6928" max="7168" width="9.13888888888889" style="3"/>
    <col min="7169" max="7169" width="9.13888888888889" style="3" customWidth="1"/>
    <col min="7170" max="7170" width="28.8518518518519" style="3" customWidth="1"/>
    <col min="7171" max="7172" width="9.13888888888889" style="3"/>
    <col min="7173" max="7174" width="17.8518518518519" style="3" customWidth="1"/>
    <col min="7175" max="7182" width="9.13888888888889" style="3"/>
    <col min="7183" max="7183" width="13.287037037037" style="3" customWidth="1"/>
    <col min="7184" max="7424" width="9.13888888888889" style="3"/>
    <col min="7425" max="7425" width="9.13888888888889" style="3" customWidth="1"/>
    <col min="7426" max="7426" width="28.8518518518519" style="3" customWidth="1"/>
    <col min="7427" max="7428" width="9.13888888888889" style="3"/>
    <col min="7429" max="7430" width="17.8518518518519" style="3" customWidth="1"/>
    <col min="7431" max="7438" width="9.13888888888889" style="3"/>
    <col min="7439" max="7439" width="13.287037037037" style="3" customWidth="1"/>
    <col min="7440" max="7680" width="9.13888888888889" style="3"/>
    <col min="7681" max="7681" width="9.13888888888889" style="3" customWidth="1"/>
    <col min="7682" max="7682" width="28.8518518518519" style="3" customWidth="1"/>
    <col min="7683" max="7684" width="9.13888888888889" style="3"/>
    <col min="7685" max="7686" width="17.8518518518519" style="3" customWidth="1"/>
    <col min="7687" max="7694" width="9.13888888888889" style="3"/>
    <col min="7695" max="7695" width="13.287037037037" style="3" customWidth="1"/>
    <col min="7696" max="7936" width="9.13888888888889" style="3"/>
    <col min="7937" max="7937" width="9.13888888888889" style="3" customWidth="1"/>
    <col min="7938" max="7938" width="28.8518518518519" style="3" customWidth="1"/>
    <col min="7939" max="7940" width="9.13888888888889" style="3"/>
    <col min="7941" max="7942" width="17.8518518518519" style="3" customWidth="1"/>
    <col min="7943" max="7950" width="9.13888888888889" style="3"/>
    <col min="7951" max="7951" width="13.287037037037" style="3" customWidth="1"/>
    <col min="7952" max="8192" width="9.13888888888889" style="3"/>
    <col min="8193" max="8193" width="9.13888888888889" style="3" customWidth="1"/>
    <col min="8194" max="8194" width="28.8518518518519" style="3" customWidth="1"/>
    <col min="8195" max="8196" width="9.13888888888889" style="3"/>
    <col min="8197" max="8198" width="17.8518518518519" style="3" customWidth="1"/>
    <col min="8199" max="8206" width="9.13888888888889" style="3"/>
    <col min="8207" max="8207" width="13.287037037037" style="3" customWidth="1"/>
    <col min="8208" max="8448" width="9.13888888888889" style="3"/>
    <col min="8449" max="8449" width="9.13888888888889" style="3" customWidth="1"/>
    <col min="8450" max="8450" width="28.8518518518519" style="3" customWidth="1"/>
    <col min="8451" max="8452" width="9.13888888888889" style="3"/>
    <col min="8453" max="8454" width="17.8518518518519" style="3" customWidth="1"/>
    <col min="8455" max="8462" width="9.13888888888889" style="3"/>
    <col min="8463" max="8463" width="13.287037037037" style="3" customWidth="1"/>
    <col min="8464" max="8704" width="9.13888888888889" style="3"/>
    <col min="8705" max="8705" width="9.13888888888889" style="3" customWidth="1"/>
    <col min="8706" max="8706" width="28.8518518518519" style="3" customWidth="1"/>
    <col min="8707" max="8708" width="9.13888888888889" style="3"/>
    <col min="8709" max="8710" width="17.8518518518519" style="3" customWidth="1"/>
    <col min="8711" max="8718" width="9.13888888888889" style="3"/>
    <col min="8719" max="8719" width="13.287037037037" style="3" customWidth="1"/>
    <col min="8720" max="8960" width="9.13888888888889" style="3"/>
    <col min="8961" max="8961" width="9.13888888888889" style="3" customWidth="1"/>
    <col min="8962" max="8962" width="28.8518518518519" style="3" customWidth="1"/>
    <col min="8963" max="8964" width="9.13888888888889" style="3"/>
    <col min="8965" max="8966" width="17.8518518518519" style="3" customWidth="1"/>
    <col min="8967" max="8974" width="9.13888888888889" style="3"/>
    <col min="8975" max="8975" width="13.287037037037" style="3" customWidth="1"/>
    <col min="8976" max="9216" width="9.13888888888889" style="3"/>
    <col min="9217" max="9217" width="9.13888888888889" style="3" customWidth="1"/>
    <col min="9218" max="9218" width="28.8518518518519" style="3" customWidth="1"/>
    <col min="9219" max="9220" width="9.13888888888889" style="3"/>
    <col min="9221" max="9222" width="17.8518518518519" style="3" customWidth="1"/>
    <col min="9223" max="9230" width="9.13888888888889" style="3"/>
    <col min="9231" max="9231" width="13.287037037037" style="3" customWidth="1"/>
    <col min="9232" max="9472" width="9.13888888888889" style="3"/>
    <col min="9473" max="9473" width="9.13888888888889" style="3" customWidth="1"/>
    <col min="9474" max="9474" width="28.8518518518519" style="3" customWidth="1"/>
    <col min="9475" max="9476" width="9.13888888888889" style="3"/>
    <col min="9477" max="9478" width="17.8518518518519" style="3" customWidth="1"/>
    <col min="9479" max="9486" width="9.13888888888889" style="3"/>
    <col min="9487" max="9487" width="13.287037037037" style="3" customWidth="1"/>
    <col min="9488" max="9728" width="9.13888888888889" style="3"/>
    <col min="9729" max="9729" width="9.13888888888889" style="3" customWidth="1"/>
    <col min="9730" max="9730" width="28.8518518518519" style="3" customWidth="1"/>
    <col min="9731" max="9732" width="9.13888888888889" style="3"/>
    <col min="9733" max="9734" width="17.8518518518519" style="3" customWidth="1"/>
    <col min="9735" max="9742" width="9.13888888888889" style="3"/>
    <col min="9743" max="9743" width="13.287037037037" style="3" customWidth="1"/>
    <col min="9744" max="9984" width="9.13888888888889" style="3"/>
    <col min="9985" max="9985" width="9.13888888888889" style="3" customWidth="1"/>
    <col min="9986" max="9986" width="28.8518518518519" style="3" customWidth="1"/>
    <col min="9987" max="9988" width="9.13888888888889" style="3"/>
    <col min="9989" max="9990" width="17.8518518518519" style="3" customWidth="1"/>
    <col min="9991" max="9998" width="9.13888888888889" style="3"/>
    <col min="9999" max="9999" width="13.287037037037" style="3" customWidth="1"/>
    <col min="10000" max="10240" width="9.13888888888889" style="3"/>
    <col min="10241" max="10241" width="9.13888888888889" style="3" customWidth="1"/>
    <col min="10242" max="10242" width="28.8518518518519" style="3" customWidth="1"/>
    <col min="10243" max="10244" width="9.13888888888889" style="3"/>
    <col min="10245" max="10246" width="17.8518518518519" style="3" customWidth="1"/>
    <col min="10247" max="10254" width="9.13888888888889" style="3"/>
    <col min="10255" max="10255" width="13.287037037037" style="3" customWidth="1"/>
    <col min="10256" max="10496" width="9.13888888888889" style="3"/>
    <col min="10497" max="10497" width="9.13888888888889" style="3" customWidth="1"/>
    <col min="10498" max="10498" width="28.8518518518519" style="3" customWidth="1"/>
    <col min="10499" max="10500" width="9.13888888888889" style="3"/>
    <col min="10501" max="10502" width="17.8518518518519" style="3" customWidth="1"/>
    <col min="10503" max="10510" width="9.13888888888889" style="3"/>
    <col min="10511" max="10511" width="13.287037037037" style="3" customWidth="1"/>
    <col min="10512" max="10752" width="9.13888888888889" style="3"/>
    <col min="10753" max="10753" width="9.13888888888889" style="3" customWidth="1"/>
    <col min="10754" max="10754" width="28.8518518518519" style="3" customWidth="1"/>
    <col min="10755" max="10756" width="9.13888888888889" style="3"/>
    <col min="10757" max="10758" width="17.8518518518519" style="3" customWidth="1"/>
    <col min="10759" max="10766" width="9.13888888888889" style="3"/>
    <col min="10767" max="10767" width="13.287037037037" style="3" customWidth="1"/>
    <col min="10768" max="11008" width="9.13888888888889" style="3"/>
    <col min="11009" max="11009" width="9.13888888888889" style="3" customWidth="1"/>
    <col min="11010" max="11010" width="28.8518518518519" style="3" customWidth="1"/>
    <col min="11011" max="11012" width="9.13888888888889" style="3"/>
    <col min="11013" max="11014" width="17.8518518518519" style="3" customWidth="1"/>
    <col min="11015" max="11022" width="9.13888888888889" style="3"/>
    <col min="11023" max="11023" width="13.287037037037" style="3" customWidth="1"/>
    <col min="11024" max="11264" width="9.13888888888889" style="3"/>
    <col min="11265" max="11265" width="9.13888888888889" style="3" customWidth="1"/>
    <col min="11266" max="11266" width="28.8518518518519" style="3" customWidth="1"/>
    <col min="11267" max="11268" width="9.13888888888889" style="3"/>
    <col min="11269" max="11270" width="17.8518518518519" style="3" customWidth="1"/>
    <col min="11271" max="11278" width="9.13888888888889" style="3"/>
    <col min="11279" max="11279" width="13.287037037037" style="3" customWidth="1"/>
    <col min="11280" max="11520" width="9.13888888888889" style="3"/>
    <col min="11521" max="11521" width="9.13888888888889" style="3" customWidth="1"/>
    <col min="11522" max="11522" width="28.8518518518519" style="3" customWidth="1"/>
    <col min="11523" max="11524" width="9.13888888888889" style="3"/>
    <col min="11525" max="11526" width="17.8518518518519" style="3" customWidth="1"/>
    <col min="11527" max="11534" width="9.13888888888889" style="3"/>
    <col min="11535" max="11535" width="13.287037037037" style="3" customWidth="1"/>
    <col min="11536" max="11776" width="9.13888888888889" style="3"/>
    <col min="11777" max="11777" width="9.13888888888889" style="3" customWidth="1"/>
    <col min="11778" max="11778" width="28.8518518518519" style="3" customWidth="1"/>
    <col min="11779" max="11780" width="9.13888888888889" style="3"/>
    <col min="11781" max="11782" width="17.8518518518519" style="3" customWidth="1"/>
    <col min="11783" max="11790" width="9.13888888888889" style="3"/>
    <col min="11791" max="11791" width="13.287037037037" style="3" customWidth="1"/>
    <col min="11792" max="12032" width="9.13888888888889" style="3"/>
    <col min="12033" max="12033" width="9.13888888888889" style="3" customWidth="1"/>
    <col min="12034" max="12034" width="28.8518518518519" style="3" customWidth="1"/>
    <col min="12035" max="12036" width="9.13888888888889" style="3"/>
    <col min="12037" max="12038" width="17.8518518518519" style="3" customWidth="1"/>
    <col min="12039" max="12046" width="9.13888888888889" style="3"/>
    <col min="12047" max="12047" width="13.287037037037" style="3" customWidth="1"/>
    <col min="12048" max="12288" width="9.13888888888889" style="3"/>
    <col min="12289" max="12289" width="9.13888888888889" style="3" customWidth="1"/>
    <col min="12290" max="12290" width="28.8518518518519" style="3" customWidth="1"/>
    <col min="12291" max="12292" width="9.13888888888889" style="3"/>
    <col min="12293" max="12294" width="17.8518518518519" style="3" customWidth="1"/>
    <col min="12295" max="12302" width="9.13888888888889" style="3"/>
    <col min="12303" max="12303" width="13.287037037037" style="3" customWidth="1"/>
    <col min="12304" max="12544" width="9.13888888888889" style="3"/>
    <col min="12545" max="12545" width="9.13888888888889" style="3" customWidth="1"/>
    <col min="12546" max="12546" width="28.8518518518519" style="3" customWidth="1"/>
    <col min="12547" max="12548" width="9.13888888888889" style="3"/>
    <col min="12549" max="12550" width="17.8518518518519" style="3" customWidth="1"/>
    <col min="12551" max="12558" width="9.13888888888889" style="3"/>
    <col min="12559" max="12559" width="13.287037037037" style="3" customWidth="1"/>
    <col min="12560" max="12800" width="9.13888888888889" style="3"/>
    <col min="12801" max="12801" width="9.13888888888889" style="3" customWidth="1"/>
    <col min="12802" max="12802" width="28.8518518518519" style="3" customWidth="1"/>
    <col min="12803" max="12804" width="9.13888888888889" style="3"/>
    <col min="12805" max="12806" width="17.8518518518519" style="3" customWidth="1"/>
    <col min="12807" max="12814" width="9.13888888888889" style="3"/>
    <col min="12815" max="12815" width="13.287037037037" style="3" customWidth="1"/>
    <col min="12816" max="13056" width="9.13888888888889" style="3"/>
    <col min="13057" max="13057" width="9.13888888888889" style="3" customWidth="1"/>
    <col min="13058" max="13058" width="28.8518518518519" style="3" customWidth="1"/>
    <col min="13059" max="13060" width="9.13888888888889" style="3"/>
    <col min="13061" max="13062" width="17.8518518518519" style="3" customWidth="1"/>
    <col min="13063" max="13070" width="9.13888888888889" style="3"/>
    <col min="13071" max="13071" width="13.287037037037" style="3" customWidth="1"/>
    <col min="13072" max="13312" width="9.13888888888889" style="3"/>
    <col min="13313" max="13313" width="9.13888888888889" style="3" customWidth="1"/>
    <col min="13314" max="13314" width="28.8518518518519" style="3" customWidth="1"/>
    <col min="13315" max="13316" width="9.13888888888889" style="3"/>
    <col min="13317" max="13318" width="17.8518518518519" style="3" customWidth="1"/>
    <col min="13319" max="13326" width="9.13888888888889" style="3"/>
    <col min="13327" max="13327" width="13.287037037037" style="3" customWidth="1"/>
    <col min="13328" max="13568" width="9.13888888888889" style="3"/>
    <col min="13569" max="13569" width="9.13888888888889" style="3" customWidth="1"/>
    <col min="13570" max="13570" width="28.8518518518519" style="3" customWidth="1"/>
    <col min="13571" max="13572" width="9.13888888888889" style="3"/>
    <col min="13573" max="13574" width="17.8518518518519" style="3" customWidth="1"/>
    <col min="13575" max="13582" width="9.13888888888889" style="3"/>
    <col min="13583" max="13583" width="13.287037037037" style="3" customWidth="1"/>
    <col min="13584" max="13824" width="9.13888888888889" style="3"/>
    <col min="13825" max="13825" width="9.13888888888889" style="3" customWidth="1"/>
    <col min="13826" max="13826" width="28.8518518518519" style="3" customWidth="1"/>
    <col min="13827" max="13828" width="9.13888888888889" style="3"/>
    <col min="13829" max="13830" width="17.8518518518519" style="3" customWidth="1"/>
    <col min="13831" max="13838" width="9.13888888888889" style="3"/>
    <col min="13839" max="13839" width="13.287037037037" style="3" customWidth="1"/>
    <col min="13840" max="14080" width="9.13888888888889" style="3"/>
    <col min="14081" max="14081" width="9.13888888888889" style="3" customWidth="1"/>
    <col min="14082" max="14082" width="28.8518518518519" style="3" customWidth="1"/>
    <col min="14083" max="14084" width="9.13888888888889" style="3"/>
    <col min="14085" max="14086" width="17.8518518518519" style="3" customWidth="1"/>
    <col min="14087" max="14094" width="9.13888888888889" style="3"/>
    <col min="14095" max="14095" width="13.287037037037" style="3" customWidth="1"/>
    <col min="14096" max="14336" width="9.13888888888889" style="3"/>
    <col min="14337" max="14337" width="9.13888888888889" style="3" customWidth="1"/>
    <col min="14338" max="14338" width="28.8518518518519" style="3" customWidth="1"/>
    <col min="14339" max="14340" width="9.13888888888889" style="3"/>
    <col min="14341" max="14342" width="17.8518518518519" style="3" customWidth="1"/>
    <col min="14343" max="14350" width="9.13888888888889" style="3"/>
    <col min="14351" max="14351" width="13.287037037037" style="3" customWidth="1"/>
    <col min="14352" max="14592" width="9.13888888888889" style="3"/>
    <col min="14593" max="14593" width="9.13888888888889" style="3" customWidth="1"/>
    <col min="14594" max="14594" width="28.8518518518519" style="3" customWidth="1"/>
    <col min="14595" max="14596" width="9.13888888888889" style="3"/>
    <col min="14597" max="14598" width="17.8518518518519" style="3" customWidth="1"/>
    <col min="14599" max="14606" width="9.13888888888889" style="3"/>
    <col min="14607" max="14607" width="13.287037037037" style="3" customWidth="1"/>
    <col min="14608" max="14848" width="9.13888888888889" style="3"/>
    <col min="14849" max="14849" width="9.13888888888889" style="3" customWidth="1"/>
    <col min="14850" max="14850" width="28.8518518518519" style="3" customWidth="1"/>
    <col min="14851" max="14852" width="9.13888888888889" style="3"/>
    <col min="14853" max="14854" width="17.8518518518519" style="3" customWidth="1"/>
    <col min="14855" max="14862" width="9.13888888888889" style="3"/>
    <col min="14863" max="14863" width="13.287037037037" style="3" customWidth="1"/>
    <col min="14864" max="15104" width="9.13888888888889" style="3"/>
    <col min="15105" max="15105" width="9.13888888888889" style="3" customWidth="1"/>
    <col min="15106" max="15106" width="28.8518518518519" style="3" customWidth="1"/>
    <col min="15107" max="15108" width="9.13888888888889" style="3"/>
    <col min="15109" max="15110" width="17.8518518518519" style="3" customWidth="1"/>
    <col min="15111" max="15118" width="9.13888888888889" style="3"/>
    <col min="15119" max="15119" width="13.287037037037" style="3" customWidth="1"/>
    <col min="15120" max="15360" width="9.13888888888889" style="3"/>
    <col min="15361" max="15361" width="9.13888888888889" style="3" customWidth="1"/>
    <col min="15362" max="15362" width="28.8518518518519" style="3" customWidth="1"/>
    <col min="15363" max="15364" width="9.13888888888889" style="3"/>
    <col min="15365" max="15366" width="17.8518518518519" style="3" customWidth="1"/>
    <col min="15367" max="15374" width="9.13888888888889" style="3"/>
    <col min="15375" max="15375" width="13.287037037037" style="3" customWidth="1"/>
    <col min="15376" max="15616" width="9.13888888888889" style="3"/>
    <col min="15617" max="15617" width="9.13888888888889" style="3" customWidth="1"/>
    <col min="15618" max="15618" width="28.8518518518519" style="3" customWidth="1"/>
    <col min="15619" max="15620" width="9.13888888888889" style="3"/>
    <col min="15621" max="15622" width="17.8518518518519" style="3" customWidth="1"/>
    <col min="15623" max="15630" width="9.13888888888889" style="3"/>
    <col min="15631" max="15631" width="13.287037037037" style="3" customWidth="1"/>
    <col min="15632" max="15872" width="9.13888888888889" style="3"/>
    <col min="15873" max="15873" width="9.13888888888889" style="3" customWidth="1"/>
    <col min="15874" max="15874" width="28.8518518518519" style="3" customWidth="1"/>
    <col min="15875" max="15876" width="9.13888888888889" style="3"/>
    <col min="15877" max="15878" width="17.8518518518519" style="3" customWidth="1"/>
    <col min="15879" max="15886" width="9.13888888888889" style="3"/>
    <col min="15887" max="15887" width="13.287037037037" style="3" customWidth="1"/>
    <col min="15888" max="16128" width="9.13888888888889" style="3"/>
    <col min="16129" max="16129" width="9.13888888888889" style="3" customWidth="1"/>
    <col min="16130" max="16130" width="28.8518518518519" style="3" customWidth="1"/>
    <col min="16131" max="16132" width="9.13888888888889" style="3"/>
    <col min="16133" max="16134" width="17.8518518518519" style="3" customWidth="1"/>
    <col min="16135" max="16142" width="9.13888888888889" style="3"/>
    <col min="16143" max="16143" width="13.287037037037" style="3" customWidth="1"/>
    <col min="16144" max="16384" width="9.13888888888889" style="3"/>
  </cols>
  <sheetData>
    <row r="1" ht="45.75" customHeight="1" spans="1:6">
      <c r="A1" s="5" t="s">
        <v>0</v>
      </c>
      <c r="B1" s="6"/>
      <c r="C1" s="6"/>
      <c r="D1" s="6"/>
      <c r="E1" s="7"/>
      <c r="F1" s="7"/>
    </row>
    <row r="3" ht="21" customHeight="1" spans="1:6">
      <c r="A3" s="8" t="s">
        <v>1</v>
      </c>
      <c r="B3" s="9" t="s">
        <v>2</v>
      </c>
      <c r="C3" s="8" t="s">
        <v>3</v>
      </c>
      <c r="D3" s="9" t="s">
        <v>4</v>
      </c>
      <c r="E3" s="10" t="s">
        <v>5</v>
      </c>
      <c r="F3" s="10" t="s">
        <v>6</v>
      </c>
    </row>
    <row r="4" spans="1:6">
      <c r="A4" s="11" t="s">
        <v>7</v>
      </c>
      <c r="B4" s="12" t="s">
        <v>8</v>
      </c>
      <c r="C4" s="13"/>
      <c r="D4" s="13"/>
      <c r="E4" s="14"/>
      <c r="F4" s="14"/>
    </row>
    <row r="5" spans="1:6">
      <c r="A5" s="15" t="s">
        <v>9</v>
      </c>
      <c r="B5" s="16" t="s">
        <v>10</v>
      </c>
      <c r="C5" s="13"/>
      <c r="D5" s="13"/>
      <c r="E5" s="14"/>
      <c r="F5" s="14"/>
    </row>
    <row r="6" ht="92.4" spans="1:6">
      <c r="A6" s="17" t="s">
        <v>11</v>
      </c>
      <c r="B6" s="18" t="s">
        <v>12</v>
      </c>
      <c r="C6" s="15" t="s">
        <v>13</v>
      </c>
      <c r="D6" s="13">
        <v>1</v>
      </c>
      <c r="E6" s="14">
        <f>40*5000+6000*15+20000</f>
        <v>310000</v>
      </c>
      <c r="F6" s="14">
        <f>+E6*D6</f>
        <v>310000</v>
      </c>
    </row>
    <row r="7" spans="1:6">
      <c r="A7" s="19" t="s">
        <v>14</v>
      </c>
      <c r="B7" s="20" t="s">
        <v>15</v>
      </c>
      <c r="C7" s="15"/>
      <c r="D7" s="13"/>
      <c r="E7" s="14"/>
      <c r="F7" s="14"/>
    </row>
    <row r="8" ht="52.8" spans="1:8">
      <c r="A8" s="17" t="s">
        <v>16</v>
      </c>
      <c r="B8" s="18" t="s">
        <v>17</v>
      </c>
      <c r="C8" s="15" t="s">
        <v>18</v>
      </c>
      <c r="D8" s="21">
        <f>+H8*1</f>
        <v>2334.79866666667</v>
      </c>
      <c r="E8" s="14">
        <v>225</v>
      </c>
      <c r="F8" s="14">
        <f t="shared" ref="F8:F14" si="0">+E8*D8</f>
        <v>525329.7</v>
      </c>
      <c r="H8" s="3">
        <f>35*(4*6*0.222/36*16*16+(6000/150*0.222/36*100*46*25.4/1000))</f>
        <v>2334.79866666667</v>
      </c>
    </row>
    <row r="9" ht="52.8" spans="1:8">
      <c r="A9" s="17" t="s">
        <v>19</v>
      </c>
      <c r="B9" s="18" t="s">
        <v>20</v>
      </c>
      <c r="C9" s="15" t="s">
        <v>18</v>
      </c>
      <c r="D9" s="21">
        <f>+H9</f>
        <v>1795.99897435897</v>
      </c>
      <c r="E9" s="14">
        <v>225</v>
      </c>
      <c r="F9" s="14">
        <f t="shared" si="0"/>
        <v>404099.769230769</v>
      </c>
      <c r="H9" s="3">
        <f>+H8/13*10</f>
        <v>1795.99897435897</v>
      </c>
    </row>
    <row r="10" ht="52.8" spans="1:6">
      <c r="A10" s="17" t="s">
        <v>21</v>
      </c>
      <c r="B10" s="18" t="s">
        <v>22</v>
      </c>
      <c r="C10" s="15" t="s">
        <v>18</v>
      </c>
      <c r="D10" s="21">
        <f>+D9/35*14</f>
        <v>718.39958974359</v>
      </c>
      <c r="E10" s="14">
        <v>225</v>
      </c>
      <c r="F10" s="14">
        <f t="shared" si="0"/>
        <v>161639.907692308</v>
      </c>
    </row>
    <row r="11" ht="52.5" customHeight="1" spans="1:19">
      <c r="A11" s="17" t="s">
        <v>23</v>
      </c>
      <c r="B11" s="18" t="s">
        <v>24</v>
      </c>
      <c r="C11" s="15" t="s">
        <v>18</v>
      </c>
      <c r="D11" s="13">
        <v>7700</v>
      </c>
      <c r="E11" s="14">
        <v>225</v>
      </c>
      <c r="F11" s="14">
        <f t="shared" si="0"/>
        <v>1732500</v>
      </c>
      <c r="K11" s="3">
        <f>0.222/36*16*16</f>
        <v>1.57866666666667</v>
      </c>
      <c r="L11" s="3">
        <f>+K11*4</f>
        <v>6.31466666666667</v>
      </c>
      <c r="M11" s="3">
        <f>+L11</f>
        <v>6.31466666666667</v>
      </c>
      <c r="Q11" s="3">
        <v>5</v>
      </c>
      <c r="R11" s="3">
        <f>0.222/36*100*10</f>
        <v>6.16666666666667</v>
      </c>
      <c r="S11" s="3">
        <f>+R11*1.15</f>
        <v>7.09166666666667</v>
      </c>
    </row>
    <row r="12" ht="52.8" spans="1:19">
      <c r="A12" s="17" t="s">
        <v>25</v>
      </c>
      <c r="B12" s="18" t="s">
        <v>26</v>
      </c>
      <c r="C12" s="15" t="s">
        <v>18</v>
      </c>
      <c r="D12" s="13">
        <f>D11</f>
        <v>7700</v>
      </c>
      <c r="E12" s="14">
        <v>225</v>
      </c>
      <c r="F12" s="14">
        <f t="shared" si="0"/>
        <v>1732500</v>
      </c>
      <c r="H12" s="3">
        <f>12*12*25.4/1000</f>
        <v>3.6576</v>
      </c>
      <c r="I12" s="3">
        <f>5*12*25.4/1000</f>
        <v>1.524</v>
      </c>
      <c r="K12" s="3">
        <f>0.222/36*100</f>
        <v>0.616666666666667</v>
      </c>
      <c r="L12" s="3">
        <f>(0.45*2+0.2*2+0.1)*1000/150</f>
        <v>9.33333333333334</v>
      </c>
      <c r="M12" s="3">
        <f>+K12*L12</f>
        <v>5.75555555555556</v>
      </c>
      <c r="N12" s="3">
        <f>+M12+M11</f>
        <v>12.0702222222222</v>
      </c>
      <c r="S12" s="3">
        <f>70*12*25.4/1000</f>
        <v>21.336</v>
      </c>
    </row>
    <row r="13" ht="53.25" customHeight="1" spans="1:22">
      <c r="A13" s="17" t="s">
        <v>27</v>
      </c>
      <c r="B13" s="18" t="s">
        <v>28</v>
      </c>
      <c r="C13" s="15" t="s">
        <v>18</v>
      </c>
      <c r="D13" s="13">
        <v>3300</v>
      </c>
      <c r="E13" s="14">
        <v>225</v>
      </c>
      <c r="F13" s="14">
        <f t="shared" si="0"/>
        <v>742500</v>
      </c>
      <c r="H13" s="3">
        <f>30*12*25.4/1000</f>
        <v>9.144</v>
      </c>
      <c r="I13" s="3">
        <f>+H13*H13+H12*I12</f>
        <v>89.1869184</v>
      </c>
      <c r="J13" s="3">
        <f>+I13*S11+215*N12</f>
        <v>3227.58167409778</v>
      </c>
      <c r="N13" s="3">
        <f>90*12*25.4/1000</f>
        <v>27.432</v>
      </c>
      <c r="O13" s="3">
        <f>+N13*5+60*12*25.4/1000*7</f>
        <v>265.176</v>
      </c>
      <c r="P13" s="3">
        <f>+O13*N12</f>
        <v>3200.733248</v>
      </c>
      <c r="S13" s="3">
        <f>21*30</f>
        <v>630</v>
      </c>
      <c r="T13" s="3">
        <f>+S13*S11</f>
        <v>4467.75</v>
      </c>
      <c r="V13" s="3">
        <f>+T13+P13</f>
        <v>7668.483248</v>
      </c>
    </row>
    <row r="14" ht="52.8" spans="1:11">
      <c r="A14" s="17" t="s">
        <v>29</v>
      </c>
      <c r="B14" s="18" t="s">
        <v>30</v>
      </c>
      <c r="C14" s="15" t="s">
        <v>18</v>
      </c>
      <c r="D14" s="13">
        <v>225</v>
      </c>
      <c r="E14" s="14">
        <v>225</v>
      </c>
      <c r="F14" s="14">
        <f t="shared" si="0"/>
        <v>50625</v>
      </c>
      <c r="H14" s="3">
        <f>75*12*25.4/1000</f>
        <v>22.86</v>
      </c>
      <c r="I14" s="3">
        <f>+((11/12+5/12)*12*25.4/1000/2)*0.3</f>
        <v>0.06096</v>
      </c>
      <c r="J14" s="3">
        <f>+H14*12*25.4/1000*I14</f>
        <v>0.42475269888</v>
      </c>
      <c r="K14" s="3">
        <f>+J14*0.9</f>
        <v>0.382277428992</v>
      </c>
    </row>
    <row r="15" spans="1:6">
      <c r="A15" s="19" t="s">
        <v>31</v>
      </c>
      <c r="B15" s="20" t="s">
        <v>32</v>
      </c>
      <c r="C15" s="15"/>
      <c r="D15" s="13"/>
      <c r="E15" s="14"/>
      <c r="F15" s="14"/>
    </row>
    <row r="16" ht="39.6" spans="1:6">
      <c r="A16" s="17" t="s">
        <v>33</v>
      </c>
      <c r="B16" s="18" t="s">
        <v>34</v>
      </c>
      <c r="C16" s="15" t="s">
        <v>35</v>
      </c>
      <c r="D16" s="13">
        <f>3*13*35/100</f>
        <v>13.65</v>
      </c>
      <c r="E16" s="14">
        <v>26000</v>
      </c>
      <c r="F16" s="14">
        <f>+E16*D16</f>
        <v>354900</v>
      </c>
    </row>
    <row r="17" ht="39.6" spans="1:6">
      <c r="A17" s="17" t="s">
        <v>36</v>
      </c>
      <c r="B17" s="18" t="s">
        <v>37</v>
      </c>
      <c r="C17" s="15" t="s">
        <v>35</v>
      </c>
      <c r="D17" s="13">
        <f>3*10*35/100</f>
        <v>10.5</v>
      </c>
      <c r="E17" s="14">
        <f>+E16*1.1</f>
        <v>28600</v>
      </c>
      <c r="F17" s="14">
        <f t="shared" ref="F17:F22" si="1">+E17*D17</f>
        <v>300300</v>
      </c>
    </row>
    <row r="18" ht="39.6" spans="1:6">
      <c r="A18" s="17" t="s">
        <v>38</v>
      </c>
      <c r="B18" s="18" t="s">
        <v>39</v>
      </c>
      <c r="C18" s="15" t="s">
        <v>35</v>
      </c>
      <c r="D18" s="13">
        <f>3*10*14/100</f>
        <v>4.2</v>
      </c>
      <c r="E18" s="14">
        <f>+E17*1.1</f>
        <v>31460</v>
      </c>
      <c r="F18" s="14">
        <f t="shared" si="1"/>
        <v>132132</v>
      </c>
    </row>
    <row r="19" ht="26.4" spans="1:6">
      <c r="A19" s="17" t="s">
        <v>40</v>
      </c>
      <c r="B19" s="18" t="s">
        <v>41</v>
      </c>
      <c r="C19" s="15" t="s">
        <v>35</v>
      </c>
      <c r="D19" s="13">
        <f>90*60/100*1.25</f>
        <v>67.5</v>
      </c>
      <c r="E19" s="14">
        <v>20000</v>
      </c>
      <c r="F19" s="14">
        <f t="shared" si="1"/>
        <v>1350000</v>
      </c>
    </row>
    <row r="20" ht="26.4" spans="1:6">
      <c r="A20" s="17" t="s">
        <v>42</v>
      </c>
      <c r="B20" s="18" t="s">
        <v>43</v>
      </c>
      <c r="C20" s="15" t="s">
        <v>35</v>
      </c>
      <c r="D20" s="13">
        <f>90*60/100*1.25</f>
        <v>67.5</v>
      </c>
      <c r="E20" s="14">
        <f>+E19*1.1</f>
        <v>22000</v>
      </c>
      <c r="F20" s="14">
        <f t="shared" si="1"/>
        <v>1485000</v>
      </c>
    </row>
    <row r="21" ht="26.4" spans="1:6">
      <c r="A21" s="17" t="s">
        <v>44</v>
      </c>
      <c r="B21" s="18" t="s">
        <v>45</v>
      </c>
      <c r="C21" s="15" t="s">
        <v>35</v>
      </c>
      <c r="D21" s="21">
        <f>9.6*1.25</f>
        <v>12</v>
      </c>
      <c r="E21" s="14">
        <f>+E20*1.1</f>
        <v>24200</v>
      </c>
      <c r="F21" s="14">
        <f t="shared" si="1"/>
        <v>290400</v>
      </c>
    </row>
    <row r="22" ht="26.4" spans="1:11">
      <c r="A22" s="17" t="s">
        <v>46</v>
      </c>
      <c r="B22" s="18" t="s">
        <v>47</v>
      </c>
      <c r="C22" s="15" t="s">
        <v>35</v>
      </c>
      <c r="D22" s="13">
        <f>75*3/100*1.2</f>
        <v>2.7</v>
      </c>
      <c r="E22" s="14">
        <f>+E20</f>
        <v>22000</v>
      </c>
      <c r="F22" s="14">
        <f t="shared" si="1"/>
        <v>59400</v>
      </c>
      <c r="K22" s="3">
        <f>5/12*11/12</f>
        <v>0.381944444444444</v>
      </c>
    </row>
    <row r="23" spans="1:11">
      <c r="A23" s="19" t="s">
        <v>48</v>
      </c>
      <c r="B23" s="20" t="s">
        <v>49</v>
      </c>
      <c r="C23" s="15"/>
      <c r="D23" s="13"/>
      <c r="E23" s="14"/>
      <c r="F23" s="14"/>
      <c r="K23" s="3">
        <f>+K22/2</f>
        <v>0.190972222222222</v>
      </c>
    </row>
    <row r="24" ht="26.4" spans="1:7">
      <c r="A24" s="17" t="s">
        <v>50</v>
      </c>
      <c r="B24" s="18" t="s">
        <v>51</v>
      </c>
      <c r="C24" s="22" t="s">
        <v>52</v>
      </c>
      <c r="D24" s="23">
        <f>35*0.75*0.75*13/100</f>
        <v>2.559375</v>
      </c>
      <c r="E24" s="24">
        <f>20000*2.83</f>
        <v>56600</v>
      </c>
      <c r="F24" s="24">
        <f>+E24*D24</f>
        <v>144860.625</v>
      </c>
      <c r="G24" s="25"/>
    </row>
    <row r="25" ht="26.4" spans="1:6">
      <c r="A25" s="17" t="s">
        <v>53</v>
      </c>
      <c r="B25" s="18" t="s">
        <v>54</v>
      </c>
      <c r="C25" s="15" t="s">
        <v>52</v>
      </c>
      <c r="D25" s="26">
        <f>+D24</f>
        <v>2.559375</v>
      </c>
      <c r="E25" s="24">
        <f>20000*2.83*1.1</f>
        <v>62260</v>
      </c>
      <c r="F25" s="24">
        <f t="shared" ref="F25:F30" si="2">+E25*D25</f>
        <v>159346.6875</v>
      </c>
    </row>
    <row r="26" ht="26.4" spans="1:6">
      <c r="A26" s="17" t="s">
        <v>55</v>
      </c>
      <c r="B26" s="18" t="s">
        <v>56</v>
      </c>
      <c r="C26" s="15" t="s">
        <v>52</v>
      </c>
      <c r="D26" s="26">
        <f>+D25/35*14</f>
        <v>1.02375</v>
      </c>
      <c r="E26" s="24">
        <f>+E25*1.1</f>
        <v>68486</v>
      </c>
      <c r="F26" s="24">
        <f t="shared" si="2"/>
        <v>70112.5425</v>
      </c>
    </row>
    <row r="27" ht="26.4" spans="1:12">
      <c r="A27" s="17" t="s">
        <v>57</v>
      </c>
      <c r="B27" s="18" t="s">
        <v>58</v>
      </c>
      <c r="C27" s="15" t="s">
        <v>52</v>
      </c>
      <c r="D27" s="13">
        <v>29</v>
      </c>
      <c r="E27" s="24">
        <f>20000*2.83</f>
        <v>56600</v>
      </c>
      <c r="F27" s="24">
        <f t="shared" si="2"/>
        <v>1641400</v>
      </c>
      <c r="H27" s="3">
        <v>3</v>
      </c>
      <c r="I27" s="3">
        <f>90*5</f>
        <v>450</v>
      </c>
      <c r="J27" s="3">
        <f>60*7</f>
        <v>420</v>
      </c>
      <c r="K27" s="3">
        <f>+J27+I27</f>
        <v>870</v>
      </c>
      <c r="L27" s="3">
        <f>+K27*1*0.75</f>
        <v>652.5</v>
      </c>
    </row>
    <row r="28" ht="26.4" spans="1:14">
      <c r="A28" s="17" t="s">
        <v>59</v>
      </c>
      <c r="B28" s="18" t="s">
        <v>60</v>
      </c>
      <c r="C28" s="15" t="s">
        <v>52</v>
      </c>
      <c r="D28" s="13">
        <v>29</v>
      </c>
      <c r="E28" s="24">
        <f>20000*2.83*1.1</f>
        <v>62260</v>
      </c>
      <c r="F28" s="24">
        <f t="shared" si="2"/>
        <v>1805540</v>
      </c>
      <c r="H28" s="3">
        <f>90*60</f>
        <v>5400</v>
      </c>
      <c r="L28" s="3">
        <f>+H28*5/12</f>
        <v>2250</v>
      </c>
      <c r="M28" s="3">
        <f>+L28+L27</f>
        <v>2902.5</v>
      </c>
      <c r="N28" s="3">
        <f>+M28/100</f>
        <v>29.025</v>
      </c>
    </row>
    <row r="29" ht="27" customHeight="1" spans="1:6">
      <c r="A29" s="17" t="s">
        <v>61</v>
      </c>
      <c r="B29" s="18" t="s">
        <v>62</v>
      </c>
      <c r="C29" s="15" t="s">
        <v>52</v>
      </c>
      <c r="D29" s="21">
        <f>+D28/5400*960</f>
        <v>5.15555555555556</v>
      </c>
      <c r="E29" s="24">
        <f>+E28*1.1</f>
        <v>68486</v>
      </c>
      <c r="F29" s="24">
        <f t="shared" si="2"/>
        <v>353083.377777778</v>
      </c>
    </row>
    <row r="30" ht="27" customHeight="1" spans="1:6">
      <c r="A30" s="17" t="s">
        <v>63</v>
      </c>
      <c r="B30" s="18" t="s">
        <v>64</v>
      </c>
      <c r="C30" s="15" t="s">
        <v>52</v>
      </c>
      <c r="D30" s="27">
        <f>75*3*K23/100</f>
        <v>0.4296875</v>
      </c>
      <c r="E30" s="24">
        <f>+E28</f>
        <v>62260</v>
      </c>
      <c r="F30" s="24">
        <f t="shared" si="2"/>
        <v>26752.34375</v>
      </c>
    </row>
    <row r="31" s="1" customFormat="1" ht="13.2" spans="1:9">
      <c r="A31" s="11" t="s">
        <v>65</v>
      </c>
      <c r="B31" s="12" t="s">
        <v>66</v>
      </c>
      <c r="C31" s="11"/>
      <c r="D31" s="11"/>
      <c r="E31" s="28"/>
      <c r="F31" s="28"/>
      <c r="I31" s="1" t="s">
        <v>67</v>
      </c>
    </row>
    <row r="32" ht="26.4" spans="1:7">
      <c r="A32" s="17" t="s">
        <v>68</v>
      </c>
      <c r="B32" s="18" t="s">
        <v>69</v>
      </c>
      <c r="C32" s="29" t="s">
        <v>35</v>
      </c>
      <c r="D32" s="29">
        <f>100*12/100+170*10/100</f>
        <v>29</v>
      </c>
      <c r="E32" s="24">
        <v>46600</v>
      </c>
      <c r="F32" s="24">
        <f t="shared" ref="F32:F37" si="3">+E32*D32</f>
        <v>1351400</v>
      </c>
      <c r="G32" s="25"/>
    </row>
    <row r="33" ht="26.4" spans="1:6">
      <c r="A33" s="17" t="s">
        <v>70</v>
      </c>
      <c r="B33" s="18" t="s">
        <v>71</v>
      </c>
      <c r="C33" s="29" t="s">
        <v>35</v>
      </c>
      <c r="D33" s="13">
        <f>360*10/100</f>
        <v>36</v>
      </c>
      <c r="E33" s="14">
        <f>+E32*1.1</f>
        <v>51260</v>
      </c>
      <c r="F33" s="24">
        <f t="shared" si="3"/>
        <v>1845360</v>
      </c>
    </row>
    <row r="34" ht="26.4" spans="1:6">
      <c r="A34" s="17" t="s">
        <v>72</v>
      </c>
      <c r="B34" s="18" t="s">
        <v>73</v>
      </c>
      <c r="C34" s="29" t="s">
        <v>35</v>
      </c>
      <c r="D34" s="13">
        <f>60*10/100</f>
        <v>6</v>
      </c>
      <c r="E34" s="14">
        <f>+E33*1.1</f>
        <v>56386</v>
      </c>
      <c r="F34" s="24">
        <f t="shared" si="3"/>
        <v>338316</v>
      </c>
    </row>
    <row r="35" ht="26.25" customHeight="1" spans="1:7">
      <c r="A35" s="17" t="s">
        <v>74</v>
      </c>
      <c r="B35" s="18" t="s">
        <v>75</v>
      </c>
      <c r="C35" s="29" t="s">
        <v>35</v>
      </c>
      <c r="D35" s="29">
        <f>80*10/100</f>
        <v>8</v>
      </c>
      <c r="E35" s="24">
        <v>25000</v>
      </c>
      <c r="F35" s="24">
        <f t="shared" si="3"/>
        <v>200000</v>
      </c>
      <c r="G35" s="25"/>
    </row>
    <row r="36" ht="26.25" customHeight="1" spans="1:7">
      <c r="A36" s="17" t="s">
        <v>76</v>
      </c>
      <c r="B36" s="18" t="s">
        <v>77</v>
      </c>
      <c r="C36" s="29" t="s">
        <v>35</v>
      </c>
      <c r="D36" s="29">
        <v>12</v>
      </c>
      <c r="E36" s="24">
        <f>+E35*1.1</f>
        <v>27500</v>
      </c>
      <c r="F36" s="24">
        <f t="shared" si="3"/>
        <v>330000</v>
      </c>
      <c r="G36" s="25"/>
    </row>
    <row r="37" ht="26.25" customHeight="1" spans="1:7">
      <c r="A37" s="17" t="s">
        <v>78</v>
      </c>
      <c r="B37" s="18" t="s">
        <v>79</v>
      </c>
      <c r="C37" s="29" t="s">
        <v>35</v>
      </c>
      <c r="D37" s="29">
        <f>360*3/100</f>
        <v>10.8</v>
      </c>
      <c r="E37" s="24">
        <f>+E36*1.1</f>
        <v>30250</v>
      </c>
      <c r="F37" s="24">
        <f t="shared" si="3"/>
        <v>326700</v>
      </c>
      <c r="G37" s="25"/>
    </row>
    <row r="38" s="1" customFormat="1" ht="13.2" spans="1:6">
      <c r="A38" s="11" t="s">
        <v>80</v>
      </c>
      <c r="B38" s="12" t="s">
        <v>81</v>
      </c>
      <c r="C38" s="11"/>
      <c r="D38" s="11"/>
      <c r="E38" s="28"/>
      <c r="F38" s="28"/>
    </row>
    <row r="39" ht="66" spans="1:6">
      <c r="A39" s="17" t="s">
        <v>82</v>
      </c>
      <c r="B39" s="18" t="s">
        <v>83</v>
      </c>
      <c r="C39" s="15" t="s">
        <v>84</v>
      </c>
      <c r="D39" s="13">
        <v>6</v>
      </c>
      <c r="E39" s="14">
        <f>3*7*3500</f>
        <v>73500</v>
      </c>
      <c r="F39" s="14">
        <f t="shared" ref="F39:F44" si="4">+E39*D39</f>
        <v>441000</v>
      </c>
    </row>
    <row r="40" ht="66.75" customHeight="1" spans="1:6">
      <c r="A40" s="17" t="s">
        <v>85</v>
      </c>
      <c r="B40" s="18" t="s">
        <v>86</v>
      </c>
      <c r="C40" s="15" t="s">
        <v>84</v>
      </c>
      <c r="D40" s="13">
        <v>8</v>
      </c>
      <c r="E40" s="14">
        <f>3*7*2000</f>
        <v>42000</v>
      </c>
      <c r="F40" s="14">
        <f t="shared" si="4"/>
        <v>336000</v>
      </c>
    </row>
    <row r="41" ht="65.25" customHeight="1" spans="1:7">
      <c r="A41" s="17" t="s">
        <v>87</v>
      </c>
      <c r="B41" s="18" t="s">
        <v>88</v>
      </c>
      <c r="C41" s="22" t="s">
        <v>84</v>
      </c>
      <c r="D41" s="29">
        <v>2</v>
      </c>
      <c r="E41" s="24">
        <f>4*7*4500</f>
        <v>126000</v>
      </c>
      <c r="F41" s="14">
        <f t="shared" si="4"/>
        <v>252000</v>
      </c>
      <c r="G41" s="25"/>
    </row>
    <row r="42" ht="64.5" customHeight="1" spans="1:7">
      <c r="A42" s="17" t="s">
        <v>89</v>
      </c>
      <c r="B42" s="18" t="s">
        <v>90</v>
      </c>
      <c r="C42" s="22" t="s">
        <v>84</v>
      </c>
      <c r="D42" s="29">
        <v>20</v>
      </c>
      <c r="E42" s="24">
        <f>7*4*4500</f>
        <v>126000</v>
      </c>
      <c r="F42" s="14">
        <f t="shared" si="4"/>
        <v>2520000</v>
      </c>
      <c r="G42" s="25"/>
    </row>
    <row r="43" ht="79.2" spans="1:6">
      <c r="A43" s="17" t="s">
        <v>91</v>
      </c>
      <c r="B43" s="18" t="s">
        <v>92</v>
      </c>
      <c r="C43" s="15" t="s">
        <v>84</v>
      </c>
      <c r="D43" s="13">
        <v>15</v>
      </c>
      <c r="E43" s="14">
        <f>1.5*1.5*3500</f>
        <v>7875</v>
      </c>
      <c r="F43" s="14">
        <f t="shared" si="4"/>
        <v>118125</v>
      </c>
    </row>
    <row r="44" ht="108" customHeight="1" spans="1:6">
      <c r="A44" s="17" t="s">
        <v>93</v>
      </c>
      <c r="B44" s="18" t="s">
        <v>94</v>
      </c>
      <c r="C44" s="15" t="s">
        <v>35</v>
      </c>
      <c r="D44" s="13">
        <f>110*12/100</f>
        <v>13.2</v>
      </c>
      <c r="E44" s="14">
        <f>4000*100</f>
        <v>400000</v>
      </c>
      <c r="F44" s="14">
        <f t="shared" si="4"/>
        <v>5280000</v>
      </c>
    </row>
    <row r="45" spans="1:6">
      <c r="A45" s="11" t="s">
        <v>95</v>
      </c>
      <c r="B45" s="12" t="s">
        <v>96</v>
      </c>
      <c r="C45" s="13"/>
      <c r="D45" s="13"/>
      <c r="E45" s="14"/>
      <c r="F45" s="14"/>
    </row>
    <row r="46" s="1" customFormat="1" ht="13.2" spans="1:6">
      <c r="A46" s="11" t="s">
        <v>97</v>
      </c>
      <c r="B46" s="12" t="s">
        <v>98</v>
      </c>
      <c r="C46" s="11"/>
      <c r="D46" s="11"/>
      <c r="E46" s="28"/>
      <c r="F46" s="28"/>
    </row>
    <row r="47" ht="40.5" customHeight="1" spans="1:6">
      <c r="A47" s="17" t="s">
        <v>99</v>
      </c>
      <c r="B47" s="18" t="s">
        <v>100</v>
      </c>
      <c r="C47" s="15" t="s">
        <v>35</v>
      </c>
      <c r="D47" s="13">
        <f>37*2</f>
        <v>74</v>
      </c>
      <c r="E47" s="14">
        <v>6525</v>
      </c>
      <c r="F47" s="14">
        <f>+E47*D47</f>
        <v>482850</v>
      </c>
    </row>
    <row r="48" ht="41.25" customHeight="1" spans="1:15">
      <c r="A48" s="17" t="s">
        <v>101</v>
      </c>
      <c r="B48" s="18" t="s">
        <v>102</v>
      </c>
      <c r="C48" s="15" t="s">
        <v>35</v>
      </c>
      <c r="D48" s="13">
        <f>44*2</f>
        <v>88</v>
      </c>
      <c r="E48" s="14">
        <f>+E47*1.1</f>
        <v>7177.5</v>
      </c>
      <c r="F48" s="14">
        <f>+E48*D48</f>
        <v>631620</v>
      </c>
      <c r="O48" s="31">
        <f>SUM(F8:F83)/90/60</f>
        <v>9848.76322045386</v>
      </c>
    </row>
    <row r="49" ht="40.5" customHeight="1" spans="1:6">
      <c r="A49" s="17" t="s">
        <v>103</v>
      </c>
      <c r="B49" s="18" t="s">
        <v>104</v>
      </c>
      <c r="C49" s="15" t="s">
        <v>35</v>
      </c>
      <c r="D49" s="13">
        <f>16.8*2</f>
        <v>33.6</v>
      </c>
      <c r="E49" s="14">
        <f>+E48*1.1</f>
        <v>7895.25</v>
      </c>
      <c r="F49" s="14">
        <f>+E49*D49</f>
        <v>265280.4</v>
      </c>
    </row>
    <row r="50" s="1" customFormat="1" ht="13.2" spans="1:6">
      <c r="A50" s="11" t="s">
        <v>105</v>
      </c>
      <c r="B50" s="12" t="s">
        <v>106</v>
      </c>
      <c r="C50" s="11"/>
      <c r="D50" s="11"/>
      <c r="E50" s="28"/>
      <c r="F50" s="28"/>
    </row>
    <row r="51" ht="52.8" spans="1:7">
      <c r="A51" s="17" t="s">
        <v>107</v>
      </c>
      <c r="B51" s="18" t="s">
        <v>108</v>
      </c>
      <c r="C51" s="22" t="s">
        <v>35</v>
      </c>
      <c r="D51" s="29">
        <f>74-D52</f>
        <v>38</v>
      </c>
      <c r="E51" s="24">
        <v>7200</v>
      </c>
      <c r="F51" s="14">
        <f t="shared" ref="F51:F79" si="5">+E51*D51</f>
        <v>273600</v>
      </c>
      <c r="G51" s="25"/>
    </row>
    <row r="52" ht="52.8" spans="1:7">
      <c r="A52" s="17" t="s">
        <v>109</v>
      </c>
      <c r="B52" s="18" t="s">
        <v>110</v>
      </c>
      <c r="C52" s="22" t="s">
        <v>35</v>
      </c>
      <c r="D52" s="29">
        <f>36</f>
        <v>36</v>
      </c>
      <c r="E52" s="24">
        <f>+E51*1.1</f>
        <v>7920</v>
      </c>
      <c r="F52" s="14">
        <f t="shared" si="5"/>
        <v>285120</v>
      </c>
      <c r="G52" s="25"/>
    </row>
    <row r="53" ht="52.8" spans="1:6">
      <c r="A53" s="17" t="s">
        <v>111</v>
      </c>
      <c r="B53" s="18" t="s">
        <v>112</v>
      </c>
      <c r="C53" s="22" t="s">
        <v>35</v>
      </c>
      <c r="D53" s="13">
        <f>90*60/100</f>
        <v>54</v>
      </c>
      <c r="E53" s="14">
        <f>+E51*1.1</f>
        <v>7920</v>
      </c>
      <c r="F53" s="14">
        <f t="shared" si="5"/>
        <v>427680</v>
      </c>
    </row>
    <row r="54" ht="52.8" spans="1:6">
      <c r="A54" s="17" t="s">
        <v>113</v>
      </c>
      <c r="B54" s="18" t="s">
        <v>114</v>
      </c>
      <c r="C54" s="22" t="s">
        <v>35</v>
      </c>
      <c r="D54" s="13">
        <f>88-D55</f>
        <v>58</v>
      </c>
      <c r="E54" s="14">
        <f>+E52*1.1</f>
        <v>8712</v>
      </c>
      <c r="F54" s="14">
        <f t="shared" si="5"/>
        <v>505296</v>
      </c>
    </row>
    <row r="55" ht="52.8" spans="1:6">
      <c r="A55" s="17" t="s">
        <v>115</v>
      </c>
      <c r="B55" s="18" t="s">
        <v>116</v>
      </c>
      <c r="C55" s="22" t="s">
        <v>35</v>
      </c>
      <c r="D55" s="13">
        <f>300*10/100</f>
        <v>30</v>
      </c>
      <c r="E55" s="14">
        <f>+E52*1.1</f>
        <v>8712</v>
      </c>
      <c r="F55" s="14">
        <f t="shared" si="5"/>
        <v>261360</v>
      </c>
    </row>
    <row r="56" ht="52.8" spans="1:6">
      <c r="A56" s="17" t="s">
        <v>117</v>
      </c>
      <c r="B56" s="18" t="s">
        <v>118</v>
      </c>
      <c r="C56" s="22" t="s">
        <v>35</v>
      </c>
      <c r="D56" s="13">
        <f>+D53</f>
        <v>54</v>
      </c>
      <c r="E56" s="14">
        <f>+E54*1.1</f>
        <v>9583.2</v>
      </c>
      <c r="F56" s="14">
        <f t="shared" si="5"/>
        <v>517492.8</v>
      </c>
    </row>
    <row r="57" ht="52.8" spans="1:6">
      <c r="A57" s="17" t="s">
        <v>119</v>
      </c>
      <c r="B57" s="18" t="s">
        <v>120</v>
      </c>
      <c r="C57" s="22" t="s">
        <v>35</v>
      </c>
      <c r="D57" s="13">
        <f>33.6-D58</f>
        <v>19.1</v>
      </c>
      <c r="E57" s="14">
        <f>+E54*1.1</f>
        <v>9583.2</v>
      </c>
      <c r="F57" s="14">
        <f t="shared" si="5"/>
        <v>183039.12</v>
      </c>
    </row>
    <row r="58" ht="52.8" spans="1:6">
      <c r="A58" s="17" t="s">
        <v>121</v>
      </c>
      <c r="B58" s="18" t="s">
        <v>122</v>
      </c>
      <c r="C58" s="22" t="s">
        <v>35</v>
      </c>
      <c r="D58" s="13">
        <f>145*10/100</f>
        <v>14.5</v>
      </c>
      <c r="E58" s="14">
        <f>+E55*1.1</f>
        <v>9583.2</v>
      </c>
      <c r="F58" s="14">
        <f t="shared" si="5"/>
        <v>138956.4</v>
      </c>
    </row>
    <row r="59" ht="52.8" spans="1:6">
      <c r="A59" s="17" t="s">
        <v>123</v>
      </c>
      <c r="B59" s="18" t="s">
        <v>124</v>
      </c>
      <c r="C59" s="22" t="s">
        <v>35</v>
      </c>
      <c r="D59" s="13">
        <f>960/100</f>
        <v>9.6</v>
      </c>
      <c r="E59" s="14">
        <f>+E56*1.1</f>
        <v>10541.52</v>
      </c>
      <c r="F59" s="14">
        <f t="shared" si="5"/>
        <v>101198.592</v>
      </c>
    </row>
    <row r="60" s="1" customFormat="1" ht="13.2" spans="1:6">
      <c r="A60" s="19" t="s">
        <v>125</v>
      </c>
      <c r="B60" s="20" t="s">
        <v>126</v>
      </c>
      <c r="C60" s="30"/>
      <c r="D60" s="11"/>
      <c r="E60" s="28"/>
      <c r="F60" s="28"/>
    </row>
    <row r="61" ht="39" customHeight="1" spans="1:6">
      <c r="A61" s="17" t="s">
        <v>127</v>
      </c>
      <c r="B61" s="18" t="s">
        <v>128</v>
      </c>
      <c r="C61" s="22" t="s">
        <v>35</v>
      </c>
      <c r="D61" s="13">
        <f>84*5/100</f>
        <v>4.2</v>
      </c>
      <c r="E61" s="14">
        <v>110000</v>
      </c>
      <c r="F61" s="14">
        <f t="shared" si="5"/>
        <v>462000</v>
      </c>
    </row>
    <row r="62" ht="39.6" spans="1:6">
      <c r="A62" s="17" t="s">
        <v>129</v>
      </c>
      <c r="B62" s="18" t="s">
        <v>130</v>
      </c>
      <c r="C62" s="22" t="s">
        <v>35</v>
      </c>
      <c r="D62" s="13">
        <f>50*30/100+8*30/100</f>
        <v>17.4</v>
      </c>
      <c r="E62" s="14">
        <v>102000</v>
      </c>
      <c r="F62" s="14">
        <f t="shared" si="5"/>
        <v>1774800</v>
      </c>
    </row>
    <row r="63" ht="39.6" spans="1:6">
      <c r="A63" s="17" t="s">
        <v>131</v>
      </c>
      <c r="B63" s="18" t="s">
        <v>132</v>
      </c>
      <c r="C63" s="22" t="s">
        <v>35</v>
      </c>
      <c r="D63" s="13">
        <f>50*50/100</f>
        <v>25</v>
      </c>
      <c r="E63" s="14">
        <v>6850</v>
      </c>
      <c r="F63" s="14">
        <f t="shared" si="5"/>
        <v>171250</v>
      </c>
    </row>
    <row r="64" ht="65.25" customHeight="1" spans="1:6">
      <c r="A64" s="17" t="s">
        <v>133</v>
      </c>
      <c r="B64" s="18" t="s">
        <v>134</v>
      </c>
      <c r="C64" s="22" t="s">
        <v>35</v>
      </c>
      <c r="D64" s="13">
        <f>+D63</f>
        <v>25</v>
      </c>
      <c r="E64" s="14">
        <f>250*100</f>
        <v>25000</v>
      </c>
      <c r="F64" s="14">
        <f t="shared" si="5"/>
        <v>625000</v>
      </c>
    </row>
    <row r="65" ht="42" customHeight="1" spans="1:6">
      <c r="A65" s="17" t="s">
        <v>135</v>
      </c>
      <c r="B65" s="18" t="s">
        <v>136</v>
      </c>
      <c r="C65" s="22" t="s">
        <v>35</v>
      </c>
      <c r="D65" s="13">
        <f>50*30*5/100</f>
        <v>75</v>
      </c>
      <c r="E65" s="14">
        <f>+E61*1.1</f>
        <v>121000</v>
      </c>
      <c r="F65" s="14">
        <f t="shared" si="5"/>
        <v>9075000</v>
      </c>
    </row>
    <row r="66" ht="39.6" spans="1:6">
      <c r="A66" s="17" t="s">
        <v>137</v>
      </c>
      <c r="B66" s="18" t="s">
        <v>138</v>
      </c>
      <c r="C66" s="22" t="s">
        <v>35</v>
      </c>
      <c r="D66" s="13">
        <f>50*30/100</f>
        <v>15</v>
      </c>
      <c r="E66" s="14">
        <f>+E62*1.1</f>
        <v>112200</v>
      </c>
      <c r="F66" s="14">
        <f t="shared" si="5"/>
        <v>1683000</v>
      </c>
    </row>
    <row r="67" ht="39.6" spans="1:6">
      <c r="A67" s="17" t="s">
        <v>139</v>
      </c>
      <c r="B67" s="18" t="s">
        <v>140</v>
      </c>
      <c r="C67" s="22" t="s">
        <v>35</v>
      </c>
      <c r="D67" s="13">
        <f>90*60/100-D66</f>
        <v>39</v>
      </c>
      <c r="E67" s="14">
        <f>+E63*1.1</f>
        <v>7535</v>
      </c>
      <c r="F67" s="14">
        <f t="shared" si="5"/>
        <v>293865</v>
      </c>
    </row>
    <row r="68" ht="38.25" customHeight="1" spans="1:6">
      <c r="A68" s="17" t="s">
        <v>141</v>
      </c>
      <c r="B68" s="18" t="s">
        <v>142</v>
      </c>
      <c r="C68" s="22" t="s">
        <v>35</v>
      </c>
      <c r="D68" s="13">
        <v>0</v>
      </c>
      <c r="E68" s="14">
        <f>+E65*1.1</f>
        <v>133100</v>
      </c>
      <c r="F68" s="14">
        <f t="shared" si="5"/>
        <v>0</v>
      </c>
    </row>
    <row r="69" ht="39.6" spans="1:6">
      <c r="A69" s="17" t="s">
        <v>143</v>
      </c>
      <c r="B69" s="18" t="s">
        <v>144</v>
      </c>
      <c r="C69" s="22" t="s">
        <v>35</v>
      </c>
      <c r="D69" s="13">
        <v>0</v>
      </c>
      <c r="E69" s="14">
        <f>+E66*1.1</f>
        <v>123420</v>
      </c>
      <c r="F69" s="14">
        <f t="shared" si="5"/>
        <v>0</v>
      </c>
    </row>
    <row r="70" ht="39.6" spans="1:6">
      <c r="A70" s="17" t="s">
        <v>145</v>
      </c>
      <c r="B70" s="18" t="s">
        <v>146</v>
      </c>
      <c r="C70" s="22" t="s">
        <v>35</v>
      </c>
      <c r="D70" s="13">
        <f>30*30/100</f>
        <v>9</v>
      </c>
      <c r="E70" s="14">
        <f>+E67*1.1</f>
        <v>8288.5</v>
      </c>
      <c r="F70" s="14">
        <f t="shared" si="5"/>
        <v>74596.5</v>
      </c>
    </row>
    <row r="71" ht="69" customHeight="1" spans="1:6">
      <c r="A71" s="17" t="s">
        <v>147</v>
      </c>
      <c r="B71" s="18" t="s">
        <v>148</v>
      </c>
      <c r="C71" s="22" t="s">
        <v>35</v>
      </c>
      <c r="D71" s="13">
        <f>75*3*2/100</f>
        <v>4.5</v>
      </c>
      <c r="E71" s="14">
        <f>+E67*1.15</f>
        <v>8665.25</v>
      </c>
      <c r="F71" s="14">
        <f t="shared" si="5"/>
        <v>38993.625</v>
      </c>
    </row>
    <row r="72" spans="1:6">
      <c r="A72" s="11" t="s">
        <v>149</v>
      </c>
      <c r="B72" s="12" t="s">
        <v>150</v>
      </c>
      <c r="C72" s="13"/>
      <c r="D72" s="13"/>
      <c r="E72" s="14"/>
      <c r="F72" s="14"/>
    </row>
    <row r="73" ht="91.5" customHeight="1" spans="1:6">
      <c r="A73" s="17" t="s">
        <v>151</v>
      </c>
      <c r="B73" s="18" t="s">
        <v>152</v>
      </c>
      <c r="C73" s="15" t="s">
        <v>13</v>
      </c>
      <c r="D73" s="13">
        <v>1</v>
      </c>
      <c r="E73" s="14">
        <v>150000</v>
      </c>
      <c r="F73" s="14">
        <f t="shared" si="5"/>
        <v>150000</v>
      </c>
    </row>
    <row r="74" ht="90.75" customHeight="1" spans="1:6">
      <c r="A74" s="17" t="s">
        <v>153</v>
      </c>
      <c r="B74" s="18" t="s">
        <v>154</v>
      </c>
      <c r="C74" s="15" t="s">
        <v>13</v>
      </c>
      <c r="D74" s="13">
        <v>1</v>
      </c>
      <c r="E74" s="14">
        <f>60000*30</f>
        <v>1800000</v>
      </c>
      <c r="F74" s="14">
        <f t="shared" si="5"/>
        <v>1800000</v>
      </c>
    </row>
    <row r="75" ht="90.75" customHeight="1" spans="1:6">
      <c r="A75" s="17" t="s">
        <v>155</v>
      </c>
      <c r="B75" s="18" t="s">
        <v>156</v>
      </c>
      <c r="C75" s="15" t="s">
        <v>13</v>
      </c>
      <c r="D75" s="13">
        <v>1</v>
      </c>
      <c r="E75" s="14">
        <v>40000</v>
      </c>
      <c r="F75" s="14">
        <f t="shared" si="5"/>
        <v>40000</v>
      </c>
    </row>
    <row r="76" ht="39.75" customHeight="1" spans="1:6">
      <c r="A76" s="17" t="s">
        <v>157</v>
      </c>
      <c r="B76" s="18" t="s">
        <v>158</v>
      </c>
      <c r="C76" s="15" t="s">
        <v>84</v>
      </c>
      <c r="D76" s="13">
        <v>32</v>
      </c>
      <c r="E76" s="14">
        <v>45000</v>
      </c>
      <c r="F76" s="14">
        <f t="shared" si="5"/>
        <v>1440000</v>
      </c>
    </row>
    <row r="77" ht="52.5" customHeight="1" spans="1:6">
      <c r="A77" s="17" t="s">
        <v>159</v>
      </c>
      <c r="B77" s="18" t="s">
        <v>160</v>
      </c>
      <c r="C77" s="15" t="s">
        <v>84</v>
      </c>
      <c r="D77" s="13">
        <v>20</v>
      </c>
      <c r="E77" s="14">
        <v>30000</v>
      </c>
      <c r="F77" s="14">
        <f t="shared" si="5"/>
        <v>600000</v>
      </c>
    </row>
    <row r="78" ht="54" customHeight="1" spans="1:6">
      <c r="A78" s="17" t="s">
        <v>161</v>
      </c>
      <c r="B78" s="18" t="s">
        <v>162</v>
      </c>
      <c r="C78" s="15" t="s">
        <v>84</v>
      </c>
      <c r="D78" s="13">
        <v>32</v>
      </c>
      <c r="E78" s="14">
        <v>2500</v>
      </c>
      <c r="F78" s="14">
        <f t="shared" si="5"/>
        <v>80000</v>
      </c>
    </row>
    <row r="79" ht="53.25" customHeight="1" spans="1:6">
      <c r="A79" s="17" t="s">
        <v>163</v>
      </c>
      <c r="B79" s="18" t="s">
        <v>164</v>
      </c>
      <c r="C79" s="15" t="s">
        <v>84</v>
      </c>
      <c r="D79" s="13">
        <v>2</v>
      </c>
      <c r="E79" s="14">
        <v>250000</v>
      </c>
      <c r="F79" s="14">
        <f t="shared" si="5"/>
        <v>500000</v>
      </c>
    </row>
    <row r="80" spans="1:6">
      <c r="A80" s="13"/>
      <c r="B80" s="32"/>
      <c r="C80" s="13"/>
      <c r="D80" s="13"/>
      <c r="E80" s="14"/>
      <c r="F80" s="14"/>
    </row>
    <row r="81" spans="1:6">
      <c r="A81" s="11" t="s">
        <v>165</v>
      </c>
      <c r="B81" s="12" t="s">
        <v>166</v>
      </c>
      <c r="C81" s="13"/>
      <c r="D81" s="13"/>
      <c r="E81" s="14"/>
      <c r="F81" s="14"/>
    </row>
    <row r="82" ht="118.8" spans="1:6">
      <c r="A82" s="17" t="s">
        <v>167</v>
      </c>
      <c r="B82" s="18" t="s">
        <v>168</v>
      </c>
      <c r="C82" s="13" t="s">
        <v>13</v>
      </c>
      <c r="D82" s="13">
        <v>1</v>
      </c>
      <c r="E82" s="14">
        <f>250*8000</f>
        <v>2000000</v>
      </c>
      <c r="F82" s="14">
        <f>+E82*D82</f>
        <v>2000000</v>
      </c>
    </row>
    <row r="83" ht="105.6" spans="1:15">
      <c r="A83" s="17" t="s">
        <v>169</v>
      </c>
      <c r="B83" s="18" t="s">
        <v>170</v>
      </c>
      <c r="C83" s="15" t="s">
        <v>84</v>
      </c>
      <c r="D83" s="13">
        <v>6</v>
      </c>
      <c r="E83" s="14">
        <v>240000</v>
      </c>
      <c r="F83" s="14">
        <f>+E83*D83</f>
        <v>1440000</v>
      </c>
      <c r="J83" s="3">
        <f>2400/180</f>
        <v>13.3333333333333</v>
      </c>
      <c r="K83" s="3">
        <v>24000</v>
      </c>
      <c r="L83" s="3">
        <v>6</v>
      </c>
      <c r="N83" s="3">
        <v>240000</v>
      </c>
      <c r="O83" s="3">
        <f>+N83*L83</f>
        <v>1440000</v>
      </c>
    </row>
    <row r="84" s="1" customFormat="1" ht="13.2" spans="1:6">
      <c r="A84" s="11" t="s">
        <v>171</v>
      </c>
      <c r="B84" s="12" t="s">
        <v>172</v>
      </c>
      <c r="C84" s="11"/>
      <c r="D84" s="11"/>
      <c r="E84" s="28"/>
      <c r="F84" s="28"/>
    </row>
    <row r="85" ht="51.75" customHeight="1" spans="1:6">
      <c r="A85" s="33" t="s">
        <v>173</v>
      </c>
      <c r="B85" s="34" t="s">
        <v>174</v>
      </c>
      <c r="C85" s="13" t="s">
        <v>175</v>
      </c>
      <c r="D85" s="13">
        <v>90</v>
      </c>
      <c r="E85" s="14">
        <v>2500</v>
      </c>
      <c r="F85" s="14">
        <f>+E85*D85</f>
        <v>225000</v>
      </c>
    </row>
    <row r="86" ht="39.6" spans="1:6">
      <c r="A86" s="33" t="s">
        <v>176</v>
      </c>
      <c r="B86" s="34" t="s">
        <v>177</v>
      </c>
      <c r="C86" s="13" t="s">
        <v>175</v>
      </c>
      <c r="D86" s="13">
        <f>350*2</f>
        <v>700</v>
      </c>
      <c r="E86" s="14">
        <v>1850</v>
      </c>
      <c r="F86" s="14">
        <f>+E86*D86</f>
        <v>1295000</v>
      </c>
    </row>
    <row r="87" ht="26.4" spans="1:6">
      <c r="A87" s="33" t="s">
        <v>178</v>
      </c>
      <c r="B87" s="34" t="s">
        <v>179</v>
      </c>
      <c r="C87" s="13" t="s">
        <v>84</v>
      </c>
      <c r="D87" s="13">
        <v>50</v>
      </c>
      <c r="E87" s="14">
        <v>20000</v>
      </c>
      <c r="F87" s="14">
        <f>+E87*D87</f>
        <v>1000000</v>
      </c>
    </row>
    <row r="88" ht="26.4" spans="1:6">
      <c r="A88" s="33" t="s">
        <v>180</v>
      </c>
      <c r="B88" s="34" t="s">
        <v>181</v>
      </c>
      <c r="C88" s="13" t="s">
        <v>84</v>
      </c>
      <c r="D88" s="13">
        <v>6</v>
      </c>
      <c r="E88" s="14">
        <v>30000</v>
      </c>
      <c r="F88" s="14">
        <f>+E88*D88</f>
        <v>180000</v>
      </c>
    </row>
    <row r="89" ht="39.6" spans="1:6">
      <c r="A89" s="17" t="s">
        <v>182</v>
      </c>
      <c r="B89" s="18" t="s">
        <v>183</v>
      </c>
      <c r="C89" s="15" t="s">
        <v>13</v>
      </c>
      <c r="D89" s="13">
        <v>1</v>
      </c>
      <c r="E89" s="14">
        <f>60*20000</f>
        <v>1200000</v>
      </c>
      <c r="F89" s="14">
        <f>+E89*D89</f>
        <v>1200000</v>
      </c>
    </row>
    <row r="90" s="1" customFormat="1" ht="13.2" spans="1:6">
      <c r="A90" s="19" t="s">
        <v>184</v>
      </c>
      <c r="B90" s="20" t="s">
        <v>185</v>
      </c>
      <c r="C90" s="11"/>
      <c r="D90" s="11"/>
      <c r="E90" s="28"/>
      <c r="F90" s="28"/>
    </row>
    <row r="91" ht="66" spans="1:15">
      <c r="A91" s="17"/>
      <c r="B91" s="18" t="s">
        <v>186</v>
      </c>
      <c r="C91" s="15" t="s">
        <v>13</v>
      </c>
      <c r="D91" s="13">
        <v>1</v>
      </c>
      <c r="E91" s="14">
        <f>6000*4500/10.76</f>
        <v>2509293.6802974</v>
      </c>
      <c r="F91" s="14">
        <f>+E91*D91</f>
        <v>2509293.6802974</v>
      </c>
      <c r="O91" s="3">
        <f>2400/200</f>
        <v>12</v>
      </c>
    </row>
    <row r="92" spans="1:6">
      <c r="A92" s="17"/>
      <c r="B92" s="18"/>
      <c r="C92" s="15"/>
      <c r="D92" s="13"/>
      <c r="E92" s="14"/>
      <c r="F92" s="14"/>
    </row>
    <row r="93" spans="1:6">
      <c r="A93" s="13"/>
      <c r="B93" s="32"/>
      <c r="C93" s="13"/>
      <c r="D93" s="13"/>
      <c r="E93" s="14"/>
      <c r="F93" s="14"/>
    </row>
    <row r="94" s="1" customFormat="1" ht="13.2" spans="1:10">
      <c r="A94" s="35" t="s">
        <v>187</v>
      </c>
      <c r="B94" s="36"/>
      <c r="C94" s="36"/>
      <c r="D94" s="36"/>
      <c r="E94" s="37"/>
      <c r="F94" s="28">
        <f>SUM(F6:F93)</f>
        <v>59902615.0707482</v>
      </c>
      <c r="I94" s="38">
        <f>+F94/(90*60*2+960)</f>
        <v>5093.75978492757</v>
      </c>
      <c r="J94" s="1" t="s">
        <v>188</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C&amp;CC</Company>
  <Application>Microsoft Excel</Application>
  <HeadingPairs>
    <vt:vector size="2" baseType="variant">
      <vt:variant>
        <vt:lpstr>工作表</vt:lpstr>
      </vt:variant>
      <vt:variant>
        <vt:i4>1</vt:i4>
      </vt:variant>
    </vt:vector>
  </HeadingPairs>
  <TitlesOfParts>
    <vt:vector size="1" baseType="lpstr">
      <vt:lpstr>BOQ Nisala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Gihan</cp:lastModifiedBy>
  <dcterms:created xsi:type="dcterms:W3CDTF">2021-08-02T05:55:00Z</dcterms:created>
  <dcterms:modified xsi:type="dcterms:W3CDTF">2023-03-15T03:46:35Z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2087B2B3F3964C8DA5E8CAB78B064A02</vt:lpwstr>
  </property>
  <property fmtid="{D5CDD505-2E9C-101B-9397-08002B2CF9AE}" pid="3" name="KSOProductBuildVer">
    <vt:lpwstr>1033-11.2.0.11486</vt:lpwstr>
  </property>
</Properties>
</file>